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codeName="ThisWorkbook" defaultThemeVersion="124226"/>
  <xr:revisionPtr revIDLastSave="0" documentId="13_ncr:1_{21E61DB0-315E-48CA-8EC2-F9499A87B7D8}" xr6:coauthVersionLast="47" xr6:coauthVersionMax="47" xr10:uidLastSave="{00000000-0000-0000-0000-000000000000}"/>
  <bookViews>
    <workbookView xWindow="-120" yWindow="-120" windowWidth="29040" windowHeight="15720" tabRatio="944" xr2:uid="{00000000-000D-0000-FFFF-FFFF00000000}"/>
  </bookViews>
  <sheets>
    <sheet name="Cover" sheetId="38" r:id="rId1"/>
    <sheet name="Contents" sheetId="54" r:id="rId2"/>
    <sheet name="Population selection" sheetId="32" state="hidden" r:id="rId3"/>
    <sheet name="Sheet1" sheetId="58" state="hidden" r:id="rId4"/>
    <sheet name="Inputs and eligible population" sheetId="50" r:id="rId5"/>
    <sheet name="Interventions inputs" sheetId="60" r:id="rId6"/>
    <sheet name="Unit costs" sheetId="21" r:id="rId7"/>
    <sheet name="Summary" sheetId="47" r:id="rId8"/>
    <sheet name="Financial impact (cash)" sheetId="42" r:id="rId9"/>
    <sheet name="Capacity (local prices)" sheetId="46" r:id="rId10"/>
    <sheet name="Capacity (national prices)" sheetId="56" r:id="rId11"/>
    <sheet name="payscales" sheetId="61" r:id="rId12"/>
  </sheets>
  <definedNames>
    <definedName name="_xlnm._FilterDatabase" localSheetId="2" hidden="1">'Population selection'!$A$60:$GN$73</definedName>
    <definedName name="CouncilArea">'Population selection'!$B$27:$B$58</definedName>
    <definedName name="HealthBoard">'Population selection'!$B$60:$B$73</definedName>
    <definedName name="NATIONAL">'Population selection'!$B$25:$B$25</definedName>
    <definedName name="ORGTYPE">'Population selection'!$L$5:$L$14</definedName>
    <definedName name="PER100K">'Population selection'!$B$23</definedName>
    <definedName name="Popindicator">'Population selection'!$B$90:$B$105</definedName>
    <definedName name="_xlnm.Print_Area" localSheetId="9">'Capacity (local prices)'!$B$1:$S$85</definedName>
    <definedName name="_xlnm.Print_Area" localSheetId="10">'Capacity (national prices)'!$B$1:$S$98</definedName>
    <definedName name="_xlnm.Print_Area" localSheetId="1">Contents!$A$1:$Q$28</definedName>
    <definedName name="_xlnm.Print_Area" localSheetId="0">Cover!$A$1:$P$25</definedName>
    <definedName name="_xlnm.Print_Area" localSheetId="8">'Financial impact (cash)'!$B$1:$J$57</definedName>
    <definedName name="_xlnm.Print_Area" localSheetId="4">'Inputs and eligible population'!$A$2:$S$94</definedName>
    <definedName name="_xlnm.Print_Area" localSheetId="2">'Population selection'!$B$11:$J$17</definedName>
    <definedName name="_xlnm.Print_Area" localSheetId="7">Summary!$B$1:$K$90</definedName>
    <definedName name="_xlnm.Print_Area" localSheetId="6">'Unit costs'!$B$1:$T$114</definedName>
    <definedName name="WALESHB">'Population selection'!#REF!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1" i="61" l="1"/>
  <c r="C40" i="61"/>
  <c r="C39" i="61"/>
  <c r="C38" i="61"/>
  <c r="C37" i="61"/>
  <c r="C36" i="61"/>
  <c r="C35" i="61"/>
  <c r="C34" i="61"/>
  <c r="C33" i="61"/>
  <c r="C32" i="61"/>
  <c r="C31" i="61"/>
  <c r="C30" i="61"/>
  <c r="C29" i="61"/>
  <c r="C28" i="61"/>
  <c r="C27" i="61"/>
  <c r="C26" i="61"/>
  <c r="C25" i="61"/>
  <c r="C24" i="61"/>
  <c r="C23" i="61"/>
  <c r="C22" i="61"/>
  <c r="C21" i="61"/>
  <c r="C20" i="61"/>
  <c r="C19" i="61"/>
  <c r="C18" i="61"/>
  <c r="C17" i="61"/>
  <c r="C16" i="61"/>
  <c r="C15" i="61"/>
  <c r="C14" i="61"/>
  <c r="C13" i="61"/>
  <c r="C12" i="61"/>
  <c r="L92" i="56" l="1"/>
  <c r="L91" i="56"/>
  <c r="D92" i="56"/>
  <c r="K91" i="56"/>
  <c r="D91" i="46"/>
  <c r="K82" i="46"/>
  <c r="K89" i="46"/>
  <c r="K90" i="46"/>
  <c r="L90" i="46" s="1"/>
  <c r="D50" i="21"/>
  <c r="F168" i="21"/>
  <c r="C153" i="21"/>
  <c r="T104" i="21"/>
  <c r="N104" i="21"/>
  <c r="F169" i="21" s="1"/>
  <c r="J104" i="21"/>
  <c r="I51" i="21"/>
  <c r="J51" i="21" s="1"/>
  <c r="H51" i="21"/>
  <c r="J50" i="21"/>
  <c r="I50" i="21"/>
  <c r="H50" i="21"/>
  <c r="I49" i="21"/>
  <c r="J49" i="21" s="1"/>
  <c r="H49" i="21"/>
  <c r="J38" i="60"/>
  <c r="I38" i="60"/>
  <c r="H38" i="60"/>
  <c r="G38" i="60"/>
  <c r="F38" i="60"/>
  <c r="E38" i="60"/>
  <c r="N8" i="32"/>
  <c r="N7" i="32"/>
  <c r="O7" i="32"/>
  <c r="O8" i="32"/>
  <c r="O6" i="32"/>
  <c r="N6" i="32"/>
  <c r="F170" i="21" l="1"/>
  <c r="C73" i="32"/>
  <c r="C72" i="32"/>
  <c r="C71" i="32"/>
  <c r="C70" i="32"/>
  <c r="C69" i="32"/>
  <c r="C68" i="32"/>
  <c r="C67" i="32"/>
  <c r="C66" i="32"/>
  <c r="C65" i="32"/>
  <c r="C64" i="32"/>
  <c r="C63" i="32"/>
  <c r="C62" i="32"/>
  <c r="C61" i="32"/>
  <c r="C60" i="32"/>
  <c r="C58" i="32"/>
  <c r="C57" i="32"/>
  <c r="C56" i="32"/>
  <c r="C55" i="32"/>
  <c r="C54" i="32"/>
  <c r="C53" i="32"/>
  <c r="C52" i="32"/>
  <c r="C51" i="32"/>
  <c r="C50" i="32"/>
  <c r="C49" i="32"/>
  <c r="C48" i="32"/>
  <c r="C47" i="32"/>
  <c r="C46" i="32"/>
  <c r="C45" i="32"/>
  <c r="C44" i="32"/>
  <c r="C43" i="32"/>
  <c r="C42" i="32"/>
  <c r="C41" i="32"/>
  <c r="C40" i="32"/>
  <c r="C39" i="32"/>
  <c r="C38" i="32"/>
  <c r="C37" i="32"/>
  <c r="C36" i="32"/>
  <c r="C35" i="32"/>
  <c r="C34" i="32"/>
  <c r="C33" i="32"/>
  <c r="C32" i="32"/>
  <c r="C31" i="32"/>
  <c r="C30" i="32"/>
  <c r="C29" i="32"/>
  <c r="C28" i="32"/>
  <c r="C27" i="32"/>
  <c r="O74" i="32"/>
  <c r="P74" i="32"/>
  <c r="Q74" i="32"/>
  <c r="R74" i="32"/>
  <c r="S74" i="32"/>
  <c r="T74" i="32"/>
  <c r="U74" i="32"/>
  <c r="V74" i="32"/>
  <c r="W74" i="32"/>
  <c r="X74" i="32"/>
  <c r="Y74" i="32"/>
  <c r="Z74" i="32"/>
  <c r="AA74" i="32"/>
  <c r="AB74" i="32"/>
  <c r="AC74" i="32"/>
  <c r="AD74" i="32"/>
  <c r="AE74" i="32"/>
  <c r="AF74" i="32"/>
  <c r="AG74" i="32"/>
  <c r="AH74" i="32"/>
  <c r="AI74" i="32"/>
  <c r="AJ74" i="32"/>
  <c r="AK74" i="32"/>
  <c r="AL74" i="32"/>
  <c r="AM74" i="32"/>
  <c r="AN74" i="32"/>
  <c r="AO74" i="32"/>
  <c r="AP74" i="32"/>
  <c r="AQ74" i="32"/>
  <c r="AR74" i="32"/>
  <c r="AS74" i="32"/>
  <c r="AT74" i="32"/>
  <c r="AU74" i="32"/>
  <c r="AV74" i="32"/>
  <c r="AW74" i="32"/>
  <c r="AX74" i="32"/>
  <c r="AY74" i="32"/>
  <c r="AZ74" i="32"/>
  <c r="BA74" i="32"/>
  <c r="BB74" i="32"/>
  <c r="BC74" i="32"/>
  <c r="BD74" i="32"/>
  <c r="BE74" i="32"/>
  <c r="BF74" i="32"/>
  <c r="BG74" i="32"/>
  <c r="BH74" i="32"/>
  <c r="BI74" i="32"/>
  <c r="BJ74" i="32"/>
  <c r="BK74" i="32"/>
  <c r="BL74" i="32"/>
  <c r="BM74" i="32"/>
  <c r="BN74" i="32"/>
  <c r="BO74" i="32"/>
  <c r="BP74" i="32"/>
  <c r="BQ74" i="32"/>
  <c r="BR74" i="32"/>
  <c r="BS74" i="32"/>
  <c r="BT74" i="32"/>
  <c r="BU74" i="32"/>
  <c r="BV74" i="32"/>
  <c r="BW74" i="32"/>
  <c r="BX74" i="32"/>
  <c r="BY74" i="32"/>
  <c r="BZ74" i="32"/>
  <c r="CA74" i="32"/>
  <c r="CB74" i="32"/>
  <c r="CC74" i="32"/>
  <c r="CD74" i="32"/>
  <c r="CE74" i="32"/>
  <c r="CF74" i="32"/>
  <c r="CG74" i="32"/>
  <c r="CH74" i="32"/>
  <c r="CI74" i="32"/>
  <c r="CJ74" i="32"/>
  <c r="CK74" i="32"/>
  <c r="CL74" i="32"/>
  <c r="CM74" i="32"/>
  <c r="CN74" i="32"/>
  <c r="CO74" i="32"/>
  <c r="CP74" i="32"/>
  <c r="CQ74" i="32"/>
  <c r="CR74" i="32"/>
  <c r="CS74" i="32"/>
  <c r="CT74" i="32"/>
  <c r="CU74" i="32"/>
  <c r="CV74" i="32"/>
  <c r="CW74" i="32"/>
  <c r="CX74" i="32"/>
  <c r="CY74" i="32"/>
  <c r="CZ74" i="32"/>
  <c r="DA74" i="32"/>
  <c r="DB74" i="32"/>
  <c r="DC74" i="32"/>
  <c r="DD74" i="32"/>
  <c r="DE74" i="32"/>
  <c r="DF74" i="32"/>
  <c r="DG74" i="32"/>
  <c r="DH74" i="32"/>
  <c r="DI74" i="32"/>
  <c r="DJ74" i="32"/>
  <c r="DK74" i="32"/>
  <c r="DL74" i="32"/>
  <c r="DM74" i="32"/>
  <c r="DN74" i="32"/>
  <c r="DO74" i="32"/>
  <c r="DP74" i="32"/>
  <c r="DQ74" i="32"/>
  <c r="DR74" i="32"/>
  <c r="DS74" i="32"/>
  <c r="DT74" i="32"/>
  <c r="DU74" i="32"/>
  <c r="DV74" i="32"/>
  <c r="DW74" i="32"/>
  <c r="DX74" i="32"/>
  <c r="DY74" i="32"/>
  <c r="DZ74" i="32"/>
  <c r="EA74" i="32"/>
  <c r="EB74" i="32"/>
  <c r="EC74" i="32"/>
  <c r="ED74" i="32"/>
  <c r="EE74" i="32"/>
  <c r="EF74" i="32"/>
  <c r="EG74" i="32"/>
  <c r="EH74" i="32"/>
  <c r="EI74" i="32"/>
  <c r="EJ74" i="32"/>
  <c r="EK74" i="32"/>
  <c r="EL74" i="32"/>
  <c r="EM74" i="32"/>
  <c r="EN74" i="32"/>
  <c r="EO74" i="32"/>
  <c r="EP74" i="32"/>
  <c r="EQ74" i="32"/>
  <c r="ER74" i="32"/>
  <c r="ES74" i="32"/>
  <c r="ET74" i="32"/>
  <c r="EU74" i="32"/>
  <c r="EV74" i="32"/>
  <c r="EW74" i="32"/>
  <c r="EX74" i="32"/>
  <c r="EY74" i="32"/>
  <c r="EZ74" i="32"/>
  <c r="FA74" i="32"/>
  <c r="FB74" i="32"/>
  <c r="FC74" i="32"/>
  <c r="FD74" i="32"/>
  <c r="FE74" i="32"/>
  <c r="FF74" i="32"/>
  <c r="FG74" i="32"/>
  <c r="FH74" i="32"/>
  <c r="FI74" i="32"/>
  <c r="FJ74" i="32"/>
  <c r="FK74" i="32"/>
  <c r="FL74" i="32"/>
  <c r="FM74" i="32"/>
  <c r="FN74" i="32"/>
  <c r="FO74" i="32"/>
  <c r="FP74" i="32"/>
  <c r="FQ74" i="32"/>
  <c r="FR74" i="32"/>
  <c r="FS74" i="32"/>
  <c r="FT74" i="32"/>
  <c r="FU74" i="32"/>
  <c r="FV74" i="32"/>
  <c r="FW74" i="32"/>
  <c r="FX74" i="32"/>
  <c r="FY74" i="32"/>
  <c r="FZ74" i="32"/>
  <c r="GA74" i="32"/>
  <c r="GB74" i="32"/>
  <c r="GC74" i="32"/>
  <c r="GD74" i="32"/>
  <c r="GE74" i="32"/>
  <c r="GF74" i="32"/>
  <c r="GG74" i="32"/>
  <c r="GH74" i="32"/>
  <c r="GI74" i="32"/>
  <c r="GJ74" i="32"/>
  <c r="GK74" i="32"/>
  <c r="GL74" i="32"/>
  <c r="GM74" i="32"/>
  <c r="GN74" i="32"/>
  <c r="O59" i="32"/>
  <c r="P59" i="32"/>
  <c r="Q59" i="32"/>
  <c r="R59" i="32"/>
  <c r="S59" i="32"/>
  <c r="T59" i="32"/>
  <c r="U59" i="32"/>
  <c r="V59" i="32"/>
  <c r="W59" i="32"/>
  <c r="X59" i="32"/>
  <c r="Y59" i="32"/>
  <c r="Z59" i="32"/>
  <c r="AA59" i="32"/>
  <c r="AB59" i="32"/>
  <c r="AC59" i="32"/>
  <c r="AD59" i="32"/>
  <c r="AE59" i="32"/>
  <c r="AF59" i="32"/>
  <c r="AG59" i="32"/>
  <c r="AH59" i="32"/>
  <c r="AI59" i="32"/>
  <c r="AJ59" i="32"/>
  <c r="AK59" i="32"/>
  <c r="AL59" i="32"/>
  <c r="AM59" i="32"/>
  <c r="AN59" i="32"/>
  <c r="AO59" i="32"/>
  <c r="AP59" i="32"/>
  <c r="AQ59" i="32"/>
  <c r="AR59" i="32"/>
  <c r="AS59" i="32"/>
  <c r="AT59" i="32"/>
  <c r="AU59" i="32"/>
  <c r="AV59" i="32"/>
  <c r="AW59" i="32"/>
  <c r="AX59" i="32"/>
  <c r="AY59" i="32"/>
  <c r="AZ59" i="32"/>
  <c r="BA59" i="32"/>
  <c r="BB59" i="32"/>
  <c r="BC59" i="32"/>
  <c r="BD59" i="32"/>
  <c r="BE59" i="32"/>
  <c r="BF59" i="32"/>
  <c r="BG59" i="32"/>
  <c r="BH59" i="32"/>
  <c r="BI59" i="32"/>
  <c r="BJ59" i="32"/>
  <c r="BK59" i="32"/>
  <c r="BL59" i="32"/>
  <c r="BM59" i="32"/>
  <c r="BN59" i="32"/>
  <c r="BO59" i="32"/>
  <c r="BP59" i="32"/>
  <c r="BQ59" i="32"/>
  <c r="BR59" i="32"/>
  <c r="BS59" i="32"/>
  <c r="BT59" i="32"/>
  <c r="BU59" i="32"/>
  <c r="BV59" i="32"/>
  <c r="BW59" i="32"/>
  <c r="BX59" i="32"/>
  <c r="BY59" i="32"/>
  <c r="BZ59" i="32"/>
  <c r="CA59" i="32"/>
  <c r="CB59" i="32"/>
  <c r="CC59" i="32"/>
  <c r="CD59" i="32"/>
  <c r="CE59" i="32"/>
  <c r="CF59" i="32"/>
  <c r="CG59" i="32"/>
  <c r="CH59" i="32"/>
  <c r="CI59" i="32"/>
  <c r="CJ59" i="32"/>
  <c r="CK59" i="32"/>
  <c r="CL59" i="32"/>
  <c r="CM59" i="32"/>
  <c r="CN59" i="32"/>
  <c r="CO59" i="32"/>
  <c r="CP59" i="32"/>
  <c r="CQ59" i="32"/>
  <c r="CR59" i="32"/>
  <c r="CS59" i="32"/>
  <c r="CT59" i="32"/>
  <c r="CU59" i="32"/>
  <c r="CV59" i="32"/>
  <c r="CW59" i="32"/>
  <c r="CX59" i="32"/>
  <c r="CY59" i="32"/>
  <c r="CZ59" i="32"/>
  <c r="DA59" i="32"/>
  <c r="DB59" i="32"/>
  <c r="DC59" i="32"/>
  <c r="DD59" i="32"/>
  <c r="DE59" i="32"/>
  <c r="DF59" i="32"/>
  <c r="DG59" i="32"/>
  <c r="DH59" i="32"/>
  <c r="DI59" i="32"/>
  <c r="DJ59" i="32"/>
  <c r="DK59" i="32"/>
  <c r="DL59" i="32"/>
  <c r="DM59" i="32"/>
  <c r="DN59" i="32"/>
  <c r="DO59" i="32"/>
  <c r="DP59" i="32"/>
  <c r="DQ59" i="32"/>
  <c r="DR59" i="32"/>
  <c r="DS59" i="32"/>
  <c r="DT59" i="32"/>
  <c r="DU59" i="32"/>
  <c r="DV59" i="32"/>
  <c r="DW59" i="32"/>
  <c r="DX59" i="32"/>
  <c r="DY59" i="32"/>
  <c r="DZ59" i="32"/>
  <c r="EA59" i="32"/>
  <c r="EB59" i="32"/>
  <c r="EC59" i="32"/>
  <c r="ED59" i="32"/>
  <c r="EE59" i="32"/>
  <c r="EF59" i="32"/>
  <c r="EG59" i="32"/>
  <c r="EH59" i="32"/>
  <c r="EI59" i="32"/>
  <c r="EJ59" i="32"/>
  <c r="EK59" i="32"/>
  <c r="EL59" i="32"/>
  <c r="EM59" i="32"/>
  <c r="EN59" i="32"/>
  <c r="EO59" i="32"/>
  <c r="EP59" i="32"/>
  <c r="EQ59" i="32"/>
  <c r="ER59" i="32"/>
  <c r="ES59" i="32"/>
  <c r="ET59" i="32"/>
  <c r="EU59" i="32"/>
  <c r="EV59" i="32"/>
  <c r="EW59" i="32"/>
  <c r="EX59" i="32"/>
  <c r="EY59" i="32"/>
  <c r="EZ59" i="32"/>
  <c r="FA59" i="32"/>
  <c r="FB59" i="32"/>
  <c r="FC59" i="32"/>
  <c r="FD59" i="32"/>
  <c r="FE59" i="32"/>
  <c r="FF59" i="32"/>
  <c r="FG59" i="32"/>
  <c r="FH59" i="32"/>
  <c r="FI59" i="32"/>
  <c r="FJ59" i="32"/>
  <c r="FK59" i="32"/>
  <c r="FL59" i="32"/>
  <c r="FM59" i="32"/>
  <c r="FN59" i="32"/>
  <c r="FO59" i="32"/>
  <c r="FP59" i="32"/>
  <c r="FQ59" i="32"/>
  <c r="FR59" i="32"/>
  <c r="FS59" i="32"/>
  <c r="FT59" i="32"/>
  <c r="FU59" i="32"/>
  <c r="FV59" i="32"/>
  <c r="FW59" i="32"/>
  <c r="FX59" i="32"/>
  <c r="FY59" i="32"/>
  <c r="FZ59" i="32"/>
  <c r="GA59" i="32"/>
  <c r="GB59" i="32"/>
  <c r="GC59" i="32"/>
  <c r="GD59" i="32"/>
  <c r="GE59" i="32"/>
  <c r="GF59" i="32"/>
  <c r="GG59" i="32"/>
  <c r="GH59" i="32"/>
  <c r="GI59" i="32"/>
  <c r="GJ59" i="32"/>
  <c r="GK59" i="32"/>
  <c r="GL59" i="32"/>
  <c r="GM59" i="32"/>
  <c r="GN59" i="32"/>
  <c r="C49" i="42"/>
  <c r="C48" i="42"/>
  <c r="C47" i="42"/>
  <c r="C46" i="42"/>
  <c r="C38" i="42"/>
  <c r="C37" i="42"/>
  <c r="C36" i="42"/>
  <c r="C35" i="42"/>
  <c r="F172" i="21" l="1"/>
  <c r="P107" i="21"/>
  <c r="E47" i="61"/>
  <c r="G47" i="61" s="1"/>
  <c r="D47" i="61"/>
  <c r="E46" i="61"/>
  <c r="E45" i="61"/>
  <c r="F45" i="61" s="1"/>
  <c r="D45" i="61"/>
  <c r="H44" i="61"/>
  <c r="E44" i="61"/>
  <c r="F44" i="61" s="1"/>
  <c r="D44" i="61"/>
  <c r="H43" i="61"/>
  <c r="H42" i="61"/>
  <c r="E42" i="61"/>
  <c r="G42" i="61" s="1"/>
  <c r="D42" i="61"/>
  <c r="E41" i="61"/>
  <c r="E40" i="61"/>
  <c r="E39" i="61"/>
  <c r="E38" i="61"/>
  <c r="E37" i="61"/>
  <c r="X36" i="61"/>
  <c r="J42" i="61" s="1"/>
  <c r="E36" i="61"/>
  <c r="D35" i="61"/>
  <c r="E35" i="61"/>
  <c r="D34" i="61"/>
  <c r="E34" i="61"/>
  <c r="E33" i="61"/>
  <c r="D32" i="61"/>
  <c r="D31" i="61"/>
  <c r="D30" i="61"/>
  <c r="D29" i="61"/>
  <c r="X28" i="61"/>
  <c r="E28" i="61"/>
  <c r="E27" i="61"/>
  <c r="E26" i="61"/>
  <c r="E25" i="61"/>
  <c r="E24" i="61"/>
  <c r="E23" i="61"/>
  <c r="E22" i="61"/>
  <c r="E21" i="61"/>
  <c r="E20" i="61"/>
  <c r="X19" i="61"/>
  <c r="E19" i="61"/>
  <c r="E18" i="61"/>
  <c r="E17" i="61"/>
  <c r="E16" i="61"/>
  <c r="E15" i="61"/>
  <c r="E14" i="61"/>
  <c r="D13" i="61"/>
  <c r="E12" i="61"/>
  <c r="B18" i="56"/>
  <c r="B18" i="46"/>
  <c r="K90" i="56"/>
  <c r="L90" i="56" s="1"/>
  <c r="L18" i="56" s="1"/>
  <c r="D18" i="46"/>
  <c r="C50" i="21"/>
  <c r="L89" i="46"/>
  <c r="H47" i="61" l="1"/>
  <c r="G44" i="61"/>
  <c r="D36" i="61"/>
  <c r="H45" i="61"/>
  <c r="I44" i="61"/>
  <c r="K44" i="61" s="1"/>
  <c r="D33" i="61"/>
  <c r="G45" i="61"/>
  <c r="I45" i="61" s="1"/>
  <c r="K45" i="61" s="1"/>
  <c r="L91" i="46"/>
  <c r="L18" i="46" s="1"/>
  <c r="H24" i="61"/>
  <c r="G24" i="61"/>
  <c r="F24" i="61"/>
  <c r="H25" i="61"/>
  <c r="G25" i="61"/>
  <c r="F25" i="61"/>
  <c r="H26" i="61"/>
  <c r="G26" i="61"/>
  <c r="F26" i="61"/>
  <c r="F12" i="61"/>
  <c r="H12" i="61"/>
  <c r="G12" i="61"/>
  <c r="H27" i="61"/>
  <c r="G27" i="61"/>
  <c r="F27" i="61"/>
  <c r="H37" i="61"/>
  <c r="G37" i="61"/>
  <c r="F37" i="61"/>
  <c r="F17" i="61"/>
  <c r="H17" i="61"/>
  <c r="G17" i="61"/>
  <c r="F19" i="61"/>
  <c r="H19" i="61"/>
  <c r="G19" i="61"/>
  <c r="H33" i="61"/>
  <c r="G33" i="61"/>
  <c r="F33" i="61"/>
  <c r="H20" i="61"/>
  <c r="G20" i="61"/>
  <c r="F20" i="61"/>
  <c r="I20" i="61" s="1"/>
  <c r="K20" i="61" s="1"/>
  <c r="H28" i="61"/>
  <c r="G28" i="61"/>
  <c r="F28" i="61"/>
  <c r="H34" i="61"/>
  <c r="G34" i="61"/>
  <c r="F34" i="61"/>
  <c r="H38" i="61"/>
  <c r="G38" i="61"/>
  <c r="F38" i="61"/>
  <c r="H46" i="61"/>
  <c r="G46" i="61"/>
  <c r="F46" i="61"/>
  <c r="H36" i="61"/>
  <c r="G36" i="61"/>
  <c r="F36" i="61"/>
  <c r="F18" i="61"/>
  <c r="H18" i="61"/>
  <c r="G18" i="61"/>
  <c r="F14" i="61"/>
  <c r="H14" i="61"/>
  <c r="G14" i="61"/>
  <c r="H39" i="61"/>
  <c r="G39" i="61"/>
  <c r="F39" i="61"/>
  <c r="F15" i="61"/>
  <c r="H15" i="61"/>
  <c r="G15" i="61"/>
  <c r="H22" i="61"/>
  <c r="G22" i="61"/>
  <c r="F22" i="61"/>
  <c r="H35" i="61"/>
  <c r="G35" i="61"/>
  <c r="F35" i="61"/>
  <c r="H40" i="61"/>
  <c r="G40" i="61"/>
  <c r="F40" i="61"/>
  <c r="H21" i="61"/>
  <c r="G21" i="61"/>
  <c r="F21" i="61"/>
  <c r="F16" i="61"/>
  <c r="H16" i="61"/>
  <c r="G16" i="61"/>
  <c r="H23" i="61"/>
  <c r="G23" i="61"/>
  <c r="F23" i="61"/>
  <c r="H41" i="61"/>
  <c r="G41" i="61"/>
  <c r="F41" i="61"/>
  <c r="D14" i="61"/>
  <c r="D16" i="61"/>
  <c r="D18" i="61"/>
  <c r="E13" i="61"/>
  <c r="D20" i="61"/>
  <c r="D22" i="61"/>
  <c r="D23" i="61"/>
  <c r="D24" i="61"/>
  <c r="D25" i="61"/>
  <c r="D26" i="61"/>
  <c r="D27" i="61"/>
  <c r="D28" i="61"/>
  <c r="J43" i="61"/>
  <c r="J44" i="61"/>
  <c r="D12" i="61"/>
  <c r="D15" i="61"/>
  <c r="D17" i="61"/>
  <c r="D19" i="61"/>
  <c r="E29" i="61"/>
  <c r="E30" i="61"/>
  <c r="E31" i="61"/>
  <c r="E32" i="61"/>
  <c r="D37" i="61"/>
  <c r="D38" i="61"/>
  <c r="D39" i="61"/>
  <c r="D40" i="61"/>
  <c r="D41" i="61"/>
  <c r="D43" i="61"/>
  <c r="D46" i="61"/>
  <c r="F42" i="61"/>
  <c r="I42" i="61" s="1"/>
  <c r="K42" i="61" s="1"/>
  <c r="E43" i="61"/>
  <c r="F47" i="61"/>
  <c r="I47" i="61" s="1"/>
  <c r="K47" i="61" s="1"/>
  <c r="D21" i="61"/>
  <c r="K83" i="56"/>
  <c r="I25" i="61" l="1"/>
  <c r="K25" i="61" s="1"/>
  <c r="I28" i="61"/>
  <c r="K28" i="61" s="1"/>
  <c r="I26" i="61"/>
  <c r="K26" i="61" s="1"/>
  <c r="I33" i="61"/>
  <c r="K33" i="61" s="1"/>
  <c r="I35" i="61"/>
  <c r="K35" i="61" s="1"/>
  <c r="I17" i="61"/>
  <c r="K17" i="61" s="1"/>
  <c r="I19" i="61"/>
  <c r="K19" i="61" s="1"/>
  <c r="I15" i="61"/>
  <c r="K15" i="61" s="1"/>
  <c r="I27" i="61"/>
  <c r="K27" i="61" s="1"/>
  <c r="K70" i="50" s="1"/>
  <c r="I34" i="61"/>
  <c r="K34" i="61" s="1"/>
  <c r="I38" i="61"/>
  <c r="K38" i="61" s="1"/>
  <c r="I23" i="61"/>
  <c r="K23" i="61" s="1"/>
  <c r="I40" i="61"/>
  <c r="K40" i="61" s="1"/>
  <c r="I24" i="61"/>
  <c r="K24" i="61" s="1"/>
  <c r="I14" i="61"/>
  <c r="K14" i="61" s="1"/>
  <c r="I46" i="61"/>
  <c r="K46" i="61" s="1"/>
  <c r="K65" i="50" s="1"/>
  <c r="I41" i="61"/>
  <c r="K41" i="61" s="1"/>
  <c r="I16" i="61"/>
  <c r="K16" i="61" s="1"/>
  <c r="I39" i="61"/>
  <c r="K39" i="61" s="1"/>
  <c r="I18" i="61"/>
  <c r="K18" i="61" s="1"/>
  <c r="I22" i="61"/>
  <c r="K22" i="61" s="1"/>
  <c r="I21" i="61"/>
  <c r="K21" i="61" s="1"/>
  <c r="I36" i="61"/>
  <c r="K36" i="61" s="1"/>
  <c r="I37" i="61"/>
  <c r="K37" i="61" s="1"/>
  <c r="I12" i="61"/>
  <c r="K12" i="61" s="1"/>
  <c r="H32" i="61"/>
  <c r="G32" i="61"/>
  <c r="F32" i="61"/>
  <c r="H31" i="61"/>
  <c r="G31" i="61"/>
  <c r="F31" i="61"/>
  <c r="F13" i="61"/>
  <c r="H13" i="61"/>
  <c r="G13" i="61"/>
  <c r="H29" i="61"/>
  <c r="G29" i="61"/>
  <c r="F29" i="61"/>
  <c r="G43" i="61"/>
  <c r="F43" i="61"/>
  <c r="H30" i="61"/>
  <c r="G30" i="61"/>
  <c r="F30" i="61"/>
  <c r="D18" i="56"/>
  <c r="I43" i="61" l="1"/>
  <c r="K43" i="61" s="1"/>
  <c r="I13" i="61"/>
  <c r="K13" i="61" s="1"/>
  <c r="K67" i="50"/>
  <c r="K71" i="50"/>
  <c r="K69" i="50"/>
  <c r="K68" i="50"/>
  <c r="K66" i="50"/>
  <c r="K72" i="50"/>
  <c r="K73" i="50"/>
  <c r="I29" i="61"/>
  <c r="K29" i="61" s="1"/>
  <c r="I32" i="61"/>
  <c r="K32" i="61" s="1"/>
  <c r="I31" i="61"/>
  <c r="K31" i="61" s="1"/>
  <c r="I30" i="61"/>
  <c r="K30" i="61" s="1"/>
  <c r="F17" i="50"/>
  <c r="G37" i="50"/>
  <c r="F22" i="50"/>
  <c r="F21" i="50"/>
  <c r="C45" i="42"/>
  <c r="C44" i="42"/>
  <c r="C34" i="42"/>
  <c r="C33" i="42"/>
  <c r="C30" i="56" l="1"/>
  <c r="C24" i="56"/>
  <c r="C30" i="46"/>
  <c r="C24" i="46"/>
  <c r="C16" i="21"/>
  <c r="C29" i="42" s="1"/>
  <c r="L19" i="32" l="1"/>
  <c r="K19" i="32"/>
  <c r="M19" i="32" l="1"/>
  <c r="B89" i="47"/>
  <c r="C74" i="56"/>
  <c r="D74" i="56" s="1"/>
  <c r="L74" i="56" s="1"/>
  <c r="L75" i="56" s="1"/>
  <c r="L16" i="56" s="1"/>
  <c r="D84" i="56" l="1"/>
  <c r="D17" i="56" s="1"/>
  <c r="C66" i="56"/>
  <c r="C65" i="56"/>
  <c r="C64" i="56"/>
  <c r="C48" i="56"/>
  <c r="C47" i="56"/>
  <c r="C46" i="56"/>
  <c r="B17" i="56"/>
  <c r="B16" i="56"/>
  <c r="B75" i="47" s="1"/>
  <c r="B15" i="56"/>
  <c r="B14" i="56"/>
  <c r="B74" i="47" s="1"/>
  <c r="B12" i="56"/>
  <c r="B73" i="47" s="1"/>
  <c r="B11" i="56"/>
  <c r="B10" i="56"/>
  <c r="B72" i="47" s="1"/>
  <c r="B1" i="56"/>
  <c r="D22" i="42"/>
  <c r="B15" i="46"/>
  <c r="B14" i="46"/>
  <c r="C65" i="46"/>
  <c r="C66" i="46"/>
  <c r="C64" i="46"/>
  <c r="C47" i="46"/>
  <c r="C48" i="46"/>
  <c r="C46" i="46"/>
  <c r="K74" i="46" l="1"/>
  <c r="K47" i="46"/>
  <c r="K48" i="46"/>
  <c r="L15" i="56" l="1"/>
  <c r="P19" i="32"/>
  <c r="O19" i="32"/>
  <c r="L58" i="60"/>
  <c r="J58" i="60"/>
  <c r="I58" i="60"/>
  <c r="H58" i="60"/>
  <c r="G58" i="60"/>
  <c r="F58" i="60"/>
  <c r="J46" i="60"/>
  <c r="I46" i="60"/>
  <c r="H46" i="60"/>
  <c r="G46" i="60"/>
  <c r="F46" i="60"/>
  <c r="E46" i="60"/>
  <c r="J45" i="60"/>
  <c r="I45" i="60"/>
  <c r="H45" i="60"/>
  <c r="G45" i="60"/>
  <c r="F45" i="60"/>
  <c r="E45" i="60"/>
  <c r="E24" i="60"/>
  <c r="E29" i="60"/>
  <c r="E28" i="60"/>
  <c r="J17" i="60"/>
  <c r="J18" i="60" s="1"/>
  <c r="I17" i="60"/>
  <c r="I18" i="60" s="1"/>
  <c r="H17" i="60"/>
  <c r="H18" i="60" s="1"/>
  <c r="G17" i="60"/>
  <c r="G18" i="60" s="1"/>
  <c r="F17" i="60"/>
  <c r="F18" i="60" s="1"/>
  <c r="E17" i="60"/>
  <c r="E18" i="60" s="1"/>
  <c r="Q19" i="32" l="1"/>
  <c r="P15" i="56"/>
  <c r="Q15" i="56"/>
  <c r="M15" i="56"/>
  <c r="N15" i="56"/>
  <c r="O15" i="56"/>
  <c r="E47" i="60"/>
  <c r="H47" i="60"/>
  <c r="I47" i="60"/>
  <c r="F47" i="60"/>
  <c r="G47" i="60"/>
  <c r="J47" i="60"/>
  <c r="I37" i="60"/>
  <c r="J37" i="60"/>
  <c r="E37" i="60"/>
  <c r="F37" i="60"/>
  <c r="G37" i="60"/>
  <c r="H37" i="60"/>
  <c r="E25" i="60"/>
  <c r="E26" i="60" s="1"/>
  <c r="E49" i="60"/>
  <c r="E30" i="60"/>
  <c r="E31" i="60" s="1"/>
  <c r="F29" i="60"/>
  <c r="G29" i="60" s="1"/>
  <c r="F28" i="60"/>
  <c r="F24" i="60"/>
  <c r="F25" i="60" s="1"/>
  <c r="C49" i="21"/>
  <c r="B17" i="46"/>
  <c r="B16" i="46"/>
  <c r="B82" i="47" s="1"/>
  <c r="L83" i="56" l="1"/>
  <c r="L84" i="56" s="1"/>
  <c r="L17" i="56" s="1"/>
  <c r="E51" i="60"/>
  <c r="F39" i="60"/>
  <c r="E39" i="60"/>
  <c r="H39" i="60"/>
  <c r="J39" i="60"/>
  <c r="G39" i="60"/>
  <c r="I39" i="60"/>
  <c r="E50" i="60"/>
  <c r="F26" i="60"/>
  <c r="G24" i="60"/>
  <c r="G25" i="60" s="1"/>
  <c r="G26" i="60" s="1"/>
  <c r="F49" i="60"/>
  <c r="G28" i="60"/>
  <c r="H29" i="60"/>
  <c r="F30" i="60"/>
  <c r="F31" i="60" s="1"/>
  <c r="H24" i="60"/>
  <c r="H25" i="60" s="1"/>
  <c r="F51" i="60" l="1"/>
  <c r="H28" i="60"/>
  <c r="H30" i="60" s="1"/>
  <c r="F50" i="60"/>
  <c r="H26" i="60"/>
  <c r="G30" i="60"/>
  <c r="G31" i="60" s="1"/>
  <c r="G49" i="60"/>
  <c r="I29" i="60"/>
  <c r="I24" i="60"/>
  <c r="I25" i="60" s="1"/>
  <c r="D267" i="58"/>
  <c r="E267" i="58"/>
  <c r="B11" i="46"/>
  <c r="C28" i="42"/>
  <c r="C27" i="42"/>
  <c r="C26" i="42"/>
  <c r="C74" i="46"/>
  <c r="H49" i="60" l="1"/>
  <c r="H50" i="60" s="1"/>
  <c r="D74" i="46"/>
  <c r="D75" i="56"/>
  <c r="D16" i="56" s="1"/>
  <c r="G50" i="60"/>
  <c r="J24" i="60"/>
  <c r="J25" i="60" s="1"/>
  <c r="J26" i="60" s="1"/>
  <c r="H31" i="60"/>
  <c r="I26" i="60"/>
  <c r="I28" i="60"/>
  <c r="G51" i="60"/>
  <c r="J29" i="60"/>
  <c r="H51" i="60" l="1"/>
  <c r="J28" i="60"/>
  <c r="J49" i="60" s="1"/>
  <c r="I49" i="60"/>
  <c r="I30" i="60"/>
  <c r="I31" i="60" s="1"/>
  <c r="J30" i="60" l="1"/>
  <c r="J31" i="60" s="1"/>
  <c r="J51" i="60"/>
  <c r="I51" i="60"/>
  <c r="J50" i="60"/>
  <c r="I50" i="60"/>
  <c r="K30" i="46" l="1"/>
  <c r="E92" i="60" l="1"/>
  <c r="F92" i="60" s="1"/>
  <c r="N278" i="58"/>
  <c r="N183" i="58"/>
  <c r="M183" i="58"/>
  <c r="M84" i="58"/>
  <c r="M57" i="58"/>
  <c r="M212" i="58"/>
  <c r="M175" i="58"/>
  <c r="M260" i="58"/>
  <c r="M273" i="58"/>
  <c r="M107" i="58"/>
  <c r="M113" i="58"/>
  <c r="M116" i="58"/>
  <c r="M97" i="58"/>
  <c r="M227" i="58"/>
  <c r="K277" i="58"/>
  <c r="L28" i="58" s="1"/>
  <c r="C50" i="58"/>
  <c r="D29" i="58" s="1"/>
  <c r="G92" i="60" l="1"/>
  <c r="D44" i="58"/>
  <c r="D28" i="58"/>
  <c r="D27" i="58"/>
  <c r="D40" i="58"/>
  <c r="D48" i="58"/>
  <c r="D36" i="58"/>
  <c r="D46" i="58"/>
  <c r="D32" i="58"/>
  <c r="L119" i="58"/>
  <c r="L97" i="58"/>
  <c r="L80" i="58"/>
  <c r="L56" i="58"/>
  <c r="L27" i="58"/>
  <c r="L258" i="58"/>
  <c r="L241" i="58"/>
  <c r="L224" i="58"/>
  <c r="L211" i="58"/>
  <c r="L194" i="58"/>
  <c r="L172" i="58"/>
  <c r="L155" i="58"/>
  <c r="L102" i="58"/>
  <c r="L84" i="58"/>
  <c r="L63" i="58"/>
  <c r="L272" i="58"/>
  <c r="L253" i="58"/>
  <c r="L237" i="58"/>
  <c r="L220" i="58"/>
  <c r="L206" i="58"/>
  <c r="L190" i="58"/>
  <c r="L167" i="58"/>
  <c r="L151" i="58"/>
  <c r="L135" i="58"/>
  <c r="L267" i="58"/>
  <c r="L249" i="58"/>
  <c r="L233" i="58"/>
  <c r="L216" i="58"/>
  <c r="L202" i="58"/>
  <c r="L163" i="58"/>
  <c r="L131" i="58"/>
  <c r="L113" i="58"/>
  <c r="L92" i="58"/>
  <c r="L76" i="58"/>
  <c r="L44" i="58"/>
  <c r="L263" i="58"/>
  <c r="L245" i="58"/>
  <c r="L229" i="58"/>
  <c r="L198" i="58"/>
  <c r="L182" i="58"/>
  <c r="L177" i="58"/>
  <c r="L159" i="58"/>
  <c r="L143" i="58"/>
  <c r="L127" i="58"/>
  <c r="L107" i="58"/>
  <c r="L88" i="58"/>
  <c r="L72" i="58"/>
  <c r="L35" i="58"/>
  <c r="L270" i="58"/>
  <c r="L260" i="58"/>
  <c r="L251" i="58"/>
  <c r="L243" i="58"/>
  <c r="L235" i="58"/>
  <c r="L226" i="58"/>
  <c r="L218" i="58"/>
  <c r="L212" i="58"/>
  <c r="N212" i="58" s="1"/>
  <c r="L204" i="58"/>
  <c r="L196" i="58"/>
  <c r="L188" i="58"/>
  <c r="L180" i="58"/>
  <c r="L179" i="58"/>
  <c r="L174" i="58"/>
  <c r="L165" i="58"/>
  <c r="L157" i="58"/>
  <c r="L149" i="58"/>
  <c r="L141" i="58"/>
  <c r="L133" i="58"/>
  <c r="L125" i="58"/>
  <c r="L116" i="58"/>
  <c r="L104" i="58"/>
  <c r="L95" i="58"/>
  <c r="L78" i="58"/>
  <c r="L53" i="58"/>
  <c r="L39" i="58"/>
  <c r="L275" i="58"/>
  <c r="L265" i="58"/>
  <c r="L256" i="58"/>
  <c r="L247" i="58"/>
  <c r="L239" i="58"/>
  <c r="L222" i="58"/>
  <c r="L213" i="58"/>
  <c r="L208" i="58"/>
  <c r="L200" i="58"/>
  <c r="L184" i="58"/>
  <c r="L169" i="58"/>
  <c r="L153" i="58"/>
  <c r="L137" i="58"/>
  <c r="L121" i="58"/>
  <c r="L111" i="58"/>
  <c r="L100" i="58"/>
  <c r="L90" i="58"/>
  <c r="L82" i="58"/>
  <c r="L74" i="58"/>
  <c r="L59" i="58"/>
  <c r="L48" i="58"/>
  <c r="L31" i="58"/>
  <c r="L276" i="58"/>
  <c r="L271" i="58"/>
  <c r="L266" i="58"/>
  <c r="L262" i="58"/>
  <c r="L257" i="58"/>
  <c r="L252" i="58"/>
  <c r="L248" i="58"/>
  <c r="L244" i="58"/>
  <c r="L240" i="58"/>
  <c r="L236" i="58"/>
  <c r="L227" i="58"/>
  <c r="L223" i="58"/>
  <c r="L219" i="58"/>
  <c r="L215" i="58"/>
  <c r="L209" i="58"/>
  <c r="L205" i="58"/>
  <c r="L201" i="58"/>
  <c r="L193" i="58"/>
  <c r="L189" i="58"/>
  <c r="L185" i="58"/>
  <c r="L181" i="58"/>
  <c r="L175" i="58"/>
  <c r="L170" i="58"/>
  <c r="L166" i="58"/>
  <c r="L162" i="58"/>
  <c r="L158" i="58"/>
  <c r="L154" i="58"/>
  <c r="L146" i="58"/>
  <c r="L142" i="58"/>
  <c r="L138" i="58"/>
  <c r="L134" i="58"/>
  <c r="L130" i="58"/>
  <c r="L126" i="58"/>
  <c r="L118" i="58"/>
  <c r="L112" i="58"/>
  <c r="L106" i="58"/>
  <c r="L101" i="58"/>
  <c r="L96" i="58"/>
  <c r="L91" i="58"/>
  <c r="L87" i="58"/>
  <c r="L83" i="58"/>
  <c r="L79" i="58"/>
  <c r="L75" i="58"/>
  <c r="L70" i="58"/>
  <c r="L66" i="58"/>
  <c r="L58" i="58"/>
  <c r="L55" i="58"/>
  <c r="L52" i="58"/>
  <c r="L47" i="58"/>
  <c r="L43" i="58"/>
  <c r="L38" i="58"/>
  <c r="L34" i="58"/>
  <c r="L30" i="58"/>
  <c r="L69" i="58"/>
  <c r="L61" i="58"/>
  <c r="L57" i="58"/>
  <c r="L54" i="58"/>
  <c r="L51" i="58"/>
  <c r="L42" i="58"/>
  <c r="L37" i="58"/>
  <c r="L33" i="58"/>
  <c r="L29" i="58"/>
  <c r="L273" i="58"/>
  <c r="L268" i="58"/>
  <c r="L264" i="58"/>
  <c r="L259" i="58"/>
  <c r="L254" i="58"/>
  <c r="L250" i="58"/>
  <c r="L246" i="58"/>
  <c r="L242" i="58"/>
  <c r="L238" i="58"/>
  <c r="L234" i="58"/>
  <c r="L230" i="58"/>
  <c r="L225" i="58"/>
  <c r="L221" i="58"/>
  <c r="L217" i="58"/>
  <c r="L207" i="58"/>
  <c r="L203" i="58"/>
  <c r="L199" i="58"/>
  <c r="L195" i="58"/>
  <c r="L191" i="58"/>
  <c r="L187" i="58"/>
  <c r="L183" i="58"/>
  <c r="L178" i="58"/>
  <c r="L173" i="58"/>
  <c r="L168" i="58"/>
  <c r="L164" i="58"/>
  <c r="L156" i="58"/>
  <c r="L152" i="58"/>
  <c r="L148" i="58"/>
  <c r="L144" i="58"/>
  <c r="L140" i="58"/>
  <c r="L136" i="58"/>
  <c r="L132" i="58"/>
  <c r="L128" i="58"/>
  <c r="L120" i="58"/>
  <c r="L115" i="58"/>
  <c r="L109" i="58"/>
  <c r="L103" i="58"/>
  <c r="L99" i="58"/>
  <c r="L94" i="58"/>
  <c r="L89" i="58"/>
  <c r="L81" i="58"/>
  <c r="L77" i="58"/>
  <c r="L73" i="58"/>
  <c r="L64" i="58"/>
  <c r="L60" i="58"/>
  <c r="L50" i="58"/>
  <c r="L49" i="58"/>
  <c r="L45" i="58"/>
  <c r="L40" i="58"/>
  <c r="L36" i="58"/>
  <c r="L32" i="58"/>
  <c r="D47" i="58"/>
  <c r="D43" i="58"/>
  <c r="D39" i="58"/>
  <c r="D35" i="58"/>
  <c r="D31" i="58"/>
  <c r="D30" i="58"/>
  <c r="D42" i="58"/>
  <c r="D38" i="58"/>
  <c r="D34" i="58"/>
  <c r="D49" i="58"/>
  <c r="D45" i="58"/>
  <c r="D41" i="58"/>
  <c r="D37" i="58"/>
  <c r="D33" i="58"/>
  <c r="H92" i="60" l="1"/>
  <c r="N84" i="58"/>
  <c r="N57" i="58"/>
  <c r="N116" i="58"/>
  <c r="N175" i="58"/>
  <c r="N260" i="58"/>
  <c r="N273" i="58"/>
  <c r="N113" i="58"/>
  <c r="N107" i="58"/>
  <c r="N97" i="58"/>
  <c r="D50" i="58"/>
  <c r="N227" i="58"/>
  <c r="I92" i="60" l="1"/>
  <c r="N277" i="58"/>
  <c r="N28" i="32"/>
  <c r="N29" i="32"/>
  <c r="N30" i="32"/>
  <c r="N31" i="32"/>
  <c r="N32" i="32"/>
  <c r="N33" i="32"/>
  <c r="N34" i="32"/>
  <c r="N35" i="32"/>
  <c r="N36" i="32"/>
  <c r="N37" i="32"/>
  <c r="N38" i="32"/>
  <c r="N39" i="32"/>
  <c r="N40" i="32"/>
  <c r="N41" i="32"/>
  <c r="N42" i="32"/>
  <c r="N43" i="32"/>
  <c r="N44" i="32"/>
  <c r="N45" i="32"/>
  <c r="N46" i="32"/>
  <c r="N47" i="32"/>
  <c r="N48" i="32"/>
  <c r="N49" i="32"/>
  <c r="N50" i="32"/>
  <c r="N51" i="32"/>
  <c r="N52" i="32"/>
  <c r="N53" i="32"/>
  <c r="N54" i="32"/>
  <c r="N55" i="32"/>
  <c r="N56" i="32"/>
  <c r="N57" i="32"/>
  <c r="N58" i="32"/>
  <c r="N60" i="32"/>
  <c r="N74" i="32" s="1"/>
  <c r="N61" i="32"/>
  <c r="N62" i="32"/>
  <c r="N63" i="32"/>
  <c r="N64" i="32"/>
  <c r="N65" i="32"/>
  <c r="N66" i="32"/>
  <c r="N67" i="32"/>
  <c r="N68" i="32"/>
  <c r="N69" i="32"/>
  <c r="N70" i="32"/>
  <c r="N71" i="32"/>
  <c r="N72" i="32"/>
  <c r="N73" i="32"/>
  <c r="N27" i="32"/>
  <c r="M28" i="32"/>
  <c r="M29" i="32"/>
  <c r="M30" i="32"/>
  <c r="M31" i="32"/>
  <c r="M32" i="32"/>
  <c r="M33" i="32"/>
  <c r="M34" i="32"/>
  <c r="M35" i="32"/>
  <c r="M36" i="32"/>
  <c r="M37" i="32"/>
  <c r="M38" i="32"/>
  <c r="M39" i="32"/>
  <c r="M40" i="32"/>
  <c r="M41" i="32"/>
  <c r="M42" i="32"/>
  <c r="M43" i="32"/>
  <c r="M44" i="32"/>
  <c r="M45" i="32"/>
  <c r="M46" i="32"/>
  <c r="M47" i="32"/>
  <c r="M48" i="32"/>
  <c r="M49" i="32"/>
  <c r="M50" i="32"/>
  <c r="M51" i="32"/>
  <c r="M52" i="32"/>
  <c r="M53" i="32"/>
  <c r="M54" i="32"/>
  <c r="M55" i="32"/>
  <c r="M56" i="32"/>
  <c r="M57" i="32"/>
  <c r="M58" i="32"/>
  <c r="M60" i="32"/>
  <c r="M74" i="32" s="1"/>
  <c r="M61" i="32"/>
  <c r="M62" i="32"/>
  <c r="M63" i="32"/>
  <c r="M64" i="32"/>
  <c r="M65" i="32"/>
  <c r="M66" i="32"/>
  <c r="M67" i="32"/>
  <c r="M68" i="32"/>
  <c r="M69" i="32"/>
  <c r="M70" i="32"/>
  <c r="M71" i="32"/>
  <c r="M72" i="32"/>
  <c r="M73" i="32"/>
  <c r="M27" i="32"/>
  <c r="M59" i="32" s="1"/>
  <c r="N25" i="32"/>
  <c r="M25" i="32"/>
  <c r="N59" i="32" l="1"/>
  <c r="J92" i="60"/>
  <c r="L28" i="32"/>
  <c r="L29" i="32"/>
  <c r="L30" i="32"/>
  <c r="L31" i="32"/>
  <c r="L32" i="32"/>
  <c r="L33" i="32"/>
  <c r="L34" i="32"/>
  <c r="L35" i="32"/>
  <c r="L36" i="32"/>
  <c r="L37" i="32"/>
  <c r="L38" i="32"/>
  <c r="L39" i="32"/>
  <c r="L40" i="32"/>
  <c r="L41" i="32"/>
  <c r="L42" i="32"/>
  <c r="L43" i="32"/>
  <c r="L44" i="32"/>
  <c r="L45" i="32"/>
  <c r="L46" i="32"/>
  <c r="L47" i="32"/>
  <c r="L48" i="32"/>
  <c r="L49" i="32"/>
  <c r="L50" i="32"/>
  <c r="L51" i="32"/>
  <c r="L52" i="32"/>
  <c r="L53" i="32"/>
  <c r="L54" i="32"/>
  <c r="L55" i="32"/>
  <c r="L56" i="32"/>
  <c r="L57" i="32"/>
  <c r="L58" i="32"/>
  <c r="L60" i="32"/>
  <c r="L74" i="32" s="1"/>
  <c r="L61" i="32"/>
  <c r="L62" i="32"/>
  <c r="L63" i="32"/>
  <c r="L64" i="32"/>
  <c r="L65" i="32"/>
  <c r="L66" i="32"/>
  <c r="L67" i="32"/>
  <c r="L68" i="32"/>
  <c r="L69" i="32"/>
  <c r="L70" i="32"/>
  <c r="L71" i="32"/>
  <c r="L72" i="32"/>
  <c r="L73" i="32"/>
  <c r="L27" i="32"/>
  <c r="K28" i="32"/>
  <c r="K29" i="32"/>
  <c r="K30" i="32"/>
  <c r="K31" i="32"/>
  <c r="K32" i="32"/>
  <c r="K33" i="32"/>
  <c r="K34" i="32"/>
  <c r="K35" i="32"/>
  <c r="K36" i="32"/>
  <c r="K37" i="32"/>
  <c r="K38" i="32"/>
  <c r="K39" i="32"/>
  <c r="K40" i="32"/>
  <c r="K41" i="32"/>
  <c r="K42" i="32"/>
  <c r="K43" i="32"/>
  <c r="K44" i="32"/>
  <c r="K45" i="32"/>
  <c r="K46" i="32"/>
  <c r="K47" i="32"/>
  <c r="K48" i="32"/>
  <c r="K49" i="32"/>
  <c r="K50" i="32"/>
  <c r="K51" i="32"/>
  <c r="K52" i="32"/>
  <c r="K53" i="32"/>
  <c r="K54" i="32"/>
  <c r="K55" i="32"/>
  <c r="K56" i="32"/>
  <c r="K57" i="32"/>
  <c r="K58" i="32"/>
  <c r="K60" i="32"/>
  <c r="K74" i="32" s="1"/>
  <c r="K61" i="32"/>
  <c r="K62" i="32"/>
  <c r="K63" i="32"/>
  <c r="K64" i="32"/>
  <c r="K65" i="32"/>
  <c r="K66" i="32"/>
  <c r="K67" i="32"/>
  <c r="K68" i="32"/>
  <c r="K69" i="32"/>
  <c r="K70" i="32"/>
  <c r="K71" i="32"/>
  <c r="K72" i="32"/>
  <c r="K73" i="32"/>
  <c r="K27" i="32"/>
  <c r="L25" i="32"/>
  <c r="K25" i="32"/>
  <c r="J28" i="32"/>
  <c r="J29" i="32"/>
  <c r="J30" i="32"/>
  <c r="J31" i="32"/>
  <c r="J32" i="32"/>
  <c r="J33" i="32"/>
  <c r="J34" i="32"/>
  <c r="J35" i="32"/>
  <c r="J36" i="32"/>
  <c r="J37" i="32"/>
  <c r="J38" i="32"/>
  <c r="J39" i="32"/>
  <c r="J40" i="32"/>
  <c r="J41" i="32"/>
  <c r="J42" i="32"/>
  <c r="J43" i="32"/>
  <c r="J44" i="32"/>
  <c r="J45" i="32"/>
  <c r="J46" i="32"/>
  <c r="J47" i="32"/>
  <c r="J48" i="32"/>
  <c r="J49" i="32"/>
  <c r="J50" i="32"/>
  <c r="J51" i="32"/>
  <c r="J52" i="32"/>
  <c r="J53" i="32"/>
  <c r="J54" i="32"/>
  <c r="J55" i="32"/>
  <c r="J56" i="32"/>
  <c r="J57" i="32"/>
  <c r="J58" i="32"/>
  <c r="J60" i="32"/>
  <c r="J61" i="32"/>
  <c r="J62" i="32"/>
  <c r="J63" i="32"/>
  <c r="J64" i="32"/>
  <c r="J65" i="32"/>
  <c r="J66" i="32"/>
  <c r="J67" i="32"/>
  <c r="J68" i="32"/>
  <c r="J69" i="32"/>
  <c r="J70" i="32"/>
  <c r="J71" i="32"/>
  <c r="J72" i="32"/>
  <c r="J73" i="32"/>
  <c r="J27" i="32"/>
  <c r="J25" i="32"/>
  <c r="I28" i="32"/>
  <c r="I29" i="32"/>
  <c r="I30" i="32"/>
  <c r="I31" i="32"/>
  <c r="I32" i="32"/>
  <c r="I33" i="32"/>
  <c r="I34" i="32"/>
  <c r="I35" i="32"/>
  <c r="I36" i="32"/>
  <c r="I37" i="32"/>
  <c r="I38" i="32"/>
  <c r="I39" i="32"/>
  <c r="I40" i="32"/>
  <c r="I41" i="32"/>
  <c r="I42" i="32"/>
  <c r="I43" i="32"/>
  <c r="I44" i="32"/>
  <c r="I45" i="32"/>
  <c r="I46" i="32"/>
  <c r="I47" i="32"/>
  <c r="I48" i="32"/>
  <c r="I49" i="32"/>
  <c r="I50" i="32"/>
  <c r="I51" i="32"/>
  <c r="I52" i="32"/>
  <c r="I53" i="32"/>
  <c r="I54" i="32"/>
  <c r="I55" i="32"/>
  <c r="I56" i="32"/>
  <c r="I57" i="32"/>
  <c r="I58" i="32"/>
  <c r="I60" i="32"/>
  <c r="I61" i="32"/>
  <c r="I62" i="32"/>
  <c r="I63" i="32"/>
  <c r="I64" i="32"/>
  <c r="I65" i="32"/>
  <c r="I66" i="32"/>
  <c r="I67" i="32"/>
  <c r="I68" i="32"/>
  <c r="I69" i="32"/>
  <c r="I70" i="32"/>
  <c r="I71" i="32"/>
  <c r="I72" i="32"/>
  <c r="I73" i="32"/>
  <c r="I27" i="32"/>
  <c r="I25" i="32"/>
  <c r="J74" i="32" l="1"/>
  <c r="I74" i="32"/>
  <c r="K59" i="32"/>
  <c r="I59" i="32"/>
  <c r="J59" i="32"/>
  <c r="L59" i="32"/>
  <c r="B10" i="46"/>
  <c r="G13" i="50"/>
  <c r="G42" i="50"/>
  <c r="R127" i="32" l="1"/>
  <c r="Q127" i="32"/>
  <c r="R126" i="32"/>
  <c r="Q126" i="32"/>
  <c r="R125" i="32"/>
  <c r="Q125" i="32"/>
  <c r="R124" i="32"/>
  <c r="Q124" i="32"/>
  <c r="R123" i="32"/>
  <c r="Q123" i="32"/>
  <c r="R122" i="32"/>
  <c r="Q122" i="32"/>
  <c r="R121" i="32"/>
  <c r="Q121" i="32"/>
  <c r="R120" i="32"/>
  <c r="Q120" i="32"/>
  <c r="R119" i="32"/>
  <c r="Q119" i="32"/>
  <c r="R118" i="32"/>
  <c r="Q118" i="32"/>
  <c r="R117" i="32"/>
  <c r="Q117" i="32"/>
  <c r="R116" i="32"/>
  <c r="Q116" i="32"/>
  <c r="R115" i="32"/>
  <c r="Q115" i="32"/>
  <c r="R114" i="32"/>
  <c r="Q114" i="32"/>
  <c r="F83" i="32"/>
  <c r="F84" i="32" s="1"/>
  <c r="F85" i="32" s="1"/>
  <c r="E83" i="32"/>
  <c r="H12" i="50" l="1"/>
  <c r="K46" i="46"/>
  <c r="B1" i="46"/>
  <c r="B1" i="42"/>
  <c r="B1" i="47"/>
  <c r="B1" i="21"/>
  <c r="F16" i="50" l="1"/>
  <c r="F20" i="50"/>
  <c r="K92" i="32"/>
  <c r="K93" i="32"/>
  <c r="K94" i="32"/>
  <c r="K95" i="32"/>
  <c r="K96" i="32"/>
  <c r="K97" i="32"/>
  <c r="K98" i="32"/>
  <c r="K99" i="32"/>
  <c r="K100" i="32"/>
  <c r="K101" i="32"/>
  <c r="K102" i="32"/>
  <c r="K103" i="32"/>
  <c r="K104" i="32"/>
  <c r="K91" i="32"/>
  <c r="J92" i="32"/>
  <c r="J93" i="32"/>
  <c r="J94" i="32"/>
  <c r="J95" i="32"/>
  <c r="J96" i="32"/>
  <c r="J97" i="32"/>
  <c r="J98" i="32"/>
  <c r="J99" i="32"/>
  <c r="J100" i="32"/>
  <c r="J101" i="32"/>
  <c r="J102" i="32"/>
  <c r="J103" i="32"/>
  <c r="J104" i="32"/>
  <c r="J91" i="32"/>
  <c r="B12" i="46" l="1"/>
  <c r="G40" i="50" l="1"/>
  <c r="C37" i="50" l="1"/>
  <c r="C17" i="50"/>
  <c r="F15" i="50"/>
  <c r="H42" i="50" l="1"/>
  <c r="I42" i="50" s="1"/>
  <c r="J42" i="50" s="1"/>
  <c r="K42" i="50" s="1"/>
  <c r="G43" i="50" l="1"/>
  <c r="H43" i="50" l="1"/>
  <c r="I43" i="50" s="1"/>
  <c r="J43" i="50" s="1"/>
  <c r="K43" i="50" s="1"/>
  <c r="B14" i="32" l="1"/>
  <c r="B15" i="32"/>
  <c r="P6" i="32"/>
  <c r="P7" i="32"/>
  <c r="C23" i="32"/>
  <c r="C15" i="32"/>
  <c r="G66" i="32"/>
  <c r="H66" i="32"/>
  <c r="D66" i="32"/>
  <c r="E66" i="32"/>
  <c r="G67" i="32"/>
  <c r="H67" i="32"/>
  <c r="D67" i="32"/>
  <c r="E67" i="32"/>
  <c r="G68" i="32"/>
  <c r="H68" i="32"/>
  <c r="D68" i="32"/>
  <c r="E68" i="32"/>
  <c r="G69" i="32"/>
  <c r="H69" i="32"/>
  <c r="D69" i="32"/>
  <c r="E69" i="32"/>
  <c r="G70" i="32"/>
  <c r="H70" i="32"/>
  <c r="D70" i="32"/>
  <c r="E70" i="32"/>
  <c r="G71" i="32"/>
  <c r="H71" i="32"/>
  <c r="D71" i="32"/>
  <c r="E71" i="32"/>
  <c r="G72" i="32"/>
  <c r="H72" i="32"/>
  <c r="D72" i="32"/>
  <c r="E72" i="32"/>
  <c r="G73" i="32"/>
  <c r="H73" i="32"/>
  <c r="D73" i="32"/>
  <c r="E73" i="32"/>
  <c r="G61" i="32"/>
  <c r="H61" i="32"/>
  <c r="D61" i="32"/>
  <c r="G62" i="32"/>
  <c r="H62" i="32"/>
  <c r="D62" i="32"/>
  <c r="E62" i="32"/>
  <c r="G63" i="32"/>
  <c r="H63" i="32"/>
  <c r="D63" i="32"/>
  <c r="E63" i="32"/>
  <c r="G64" i="32"/>
  <c r="H64" i="32"/>
  <c r="D64" i="32"/>
  <c r="E64" i="32"/>
  <c r="G65" i="32"/>
  <c r="H65" i="32"/>
  <c r="D65" i="32"/>
  <c r="E65" i="32"/>
  <c r="D60" i="32"/>
  <c r="H60" i="32"/>
  <c r="E60" i="32"/>
  <c r="G60" i="32"/>
  <c r="E58" i="32"/>
  <c r="D58" i="32"/>
  <c r="H58" i="32"/>
  <c r="G58" i="32"/>
  <c r="E57" i="32"/>
  <c r="D57" i="32"/>
  <c r="H57" i="32"/>
  <c r="G57" i="32"/>
  <c r="E56" i="32"/>
  <c r="D56" i="32"/>
  <c r="H56" i="32"/>
  <c r="G56" i="32"/>
  <c r="E55" i="32"/>
  <c r="D55" i="32"/>
  <c r="H55" i="32"/>
  <c r="G55" i="32"/>
  <c r="E54" i="32"/>
  <c r="D54" i="32"/>
  <c r="H54" i="32"/>
  <c r="G54" i="32"/>
  <c r="E53" i="32"/>
  <c r="D53" i="32"/>
  <c r="H53" i="32"/>
  <c r="G53" i="32"/>
  <c r="E52" i="32"/>
  <c r="D52" i="32"/>
  <c r="H52" i="32"/>
  <c r="G52" i="32"/>
  <c r="E51" i="32"/>
  <c r="D51" i="32"/>
  <c r="H51" i="32"/>
  <c r="G51" i="32"/>
  <c r="E50" i="32"/>
  <c r="D50" i="32"/>
  <c r="H50" i="32"/>
  <c r="G50" i="32"/>
  <c r="E49" i="32"/>
  <c r="D49" i="32"/>
  <c r="H49" i="32"/>
  <c r="G49" i="32"/>
  <c r="E48" i="32"/>
  <c r="D48" i="32"/>
  <c r="H48" i="32"/>
  <c r="G48" i="32"/>
  <c r="E47" i="32"/>
  <c r="D47" i="32"/>
  <c r="H47" i="32"/>
  <c r="G47" i="32"/>
  <c r="E46" i="32"/>
  <c r="D46" i="32"/>
  <c r="H46" i="32"/>
  <c r="G46" i="32"/>
  <c r="E45" i="32"/>
  <c r="D45" i="32"/>
  <c r="H45" i="32"/>
  <c r="G45" i="32"/>
  <c r="E44" i="32"/>
  <c r="D44" i="32"/>
  <c r="H44" i="32"/>
  <c r="G44" i="32"/>
  <c r="E43" i="32"/>
  <c r="D43" i="32"/>
  <c r="H43" i="32"/>
  <c r="G43" i="32"/>
  <c r="E42" i="32"/>
  <c r="D42" i="32"/>
  <c r="H42" i="32"/>
  <c r="G42" i="32"/>
  <c r="E41" i="32"/>
  <c r="D41" i="32"/>
  <c r="H41" i="32"/>
  <c r="G41" i="32"/>
  <c r="E40" i="32"/>
  <c r="D40" i="32"/>
  <c r="H40" i="32"/>
  <c r="G40" i="32"/>
  <c r="E39" i="32"/>
  <c r="D39" i="32"/>
  <c r="H39" i="32"/>
  <c r="G39" i="32"/>
  <c r="E38" i="32"/>
  <c r="D38" i="32"/>
  <c r="H38" i="32"/>
  <c r="G38" i="32"/>
  <c r="E37" i="32"/>
  <c r="D37" i="32"/>
  <c r="H37" i="32"/>
  <c r="G37" i="32"/>
  <c r="E36" i="32"/>
  <c r="D36" i="32"/>
  <c r="H36" i="32"/>
  <c r="G36" i="32"/>
  <c r="E35" i="32"/>
  <c r="H35" i="32"/>
  <c r="G35" i="32"/>
  <c r="E34" i="32"/>
  <c r="D34" i="32"/>
  <c r="H34" i="32"/>
  <c r="G34" i="32"/>
  <c r="D33" i="32"/>
  <c r="H33" i="32"/>
  <c r="G33" i="32"/>
  <c r="E32" i="32"/>
  <c r="D32" i="32"/>
  <c r="H32" i="32"/>
  <c r="G32" i="32"/>
  <c r="E31" i="32"/>
  <c r="D31" i="32"/>
  <c r="H31" i="32"/>
  <c r="G31" i="32"/>
  <c r="E30" i="32"/>
  <c r="D30" i="32"/>
  <c r="H30" i="32"/>
  <c r="G30" i="32"/>
  <c r="E29" i="32"/>
  <c r="D29" i="32"/>
  <c r="H29" i="32"/>
  <c r="G29" i="32"/>
  <c r="E28" i="32"/>
  <c r="D28" i="32"/>
  <c r="H28" i="32"/>
  <c r="G28" i="32"/>
  <c r="E27" i="32"/>
  <c r="D27" i="32"/>
  <c r="H27" i="32"/>
  <c r="G27" i="32"/>
  <c r="H74" i="32" l="1"/>
  <c r="G74" i="32"/>
  <c r="D74" i="32"/>
  <c r="G59" i="32"/>
  <c r="H59" i="32"/>
  <c r="F70" i="32"/>
  <c r="F48" i="32"/>
  <c r="F66" i="32"/>
  <c r="F63" i="32"/>
  <c r="F67" i="32"/>
  <c r="F32" i="32"/>
  <c r="F62" i="32"/>
  <c r="F71" i="32"/>
  <c r="F33" i="32"/>
  <c r="F42" i="32"/>
  <c r="F57" i="32"/>
  <c r="F46" i="32"/>
  <c r="F44" i="32"/>
  <c r="F52" i="32"/>
  <c r="F72" i="32"/>
  <c r="F64" i="32"/>
  <c r="F61" i="32"/>
  <c r="F30" i="32"/>
  <c r="F54" i="32"/>
  <c r="F55" i="32"/>
  <c r="F36" i="32"/>
  <c r="F50" i="32"/>
  <c r="F34" i="32"/>
  <c r="F43" i="32"/>
  <c r="F51" i="32"/>
  <c r="F68" i="32"/>
  <c r="F49" i="32"/>
  <c r="F40" i="32"/>
  <c r="F41" i="32"/>
  <c r="F39" i="32"/>
  <c r="F58" i="32"/>
  <c r="F28" i="32"/>
  <c r="F56" i="32"/>
  <c r="F38" i="32"/>
  <c r="F73" i="32"/>
  <c r="F69" i="32"/>
  <c r="F45" i="32"/>
  <c r="F65" i="32"/>
  <c r="F47" i="32"/>
  <c r="F31" i="32"/>
  <c r="F53" i="32"/>
  <c r="F35" i="32"/>
  <c r="F37" i="32"/>
  <c r="E61" i="32"/>
  <c r="E74" i="32" s="1"/>
  <c r="F60" i="32"/>
  <c r="F27" i="32"/>
  <c r="F29" i="32"/>
  <c r="D35" i="32"/>
  <c r="D59" i="32" s="1"/>
  <c r="E33" i="32"/>
  <c r="E59" i="32" s="1"/>
  <c r="P16" i="32"/>
  <c r="F74" i="32" l="1"/>
  <c r="F59" i="32"/>
  <c r="D25" i="32"/>
  <c r="E25" i="32"/>
  <c r="F25" i="32"/>
  <c r="N23" i="32" l="1"/>
  <c r="I15" i="32" s="1"/>
  <c r="M23" i="32"/>
  <c r="H15" i="32" s="1"/>
  <c r="G23" i="32"/>
  <c r="D23" i="32"/>
  <c r="D15" i="32" s="1"/>
  <c r="DF23" i="32"/>
  <c r="EQ23" i="32"/>
  <c r="T23" i="32"/>
  <c r="DH23" i="32"/>
  <c r="AW23" i="32"/>
  <c r="AF23" i="32"/>
  <c r="EN23" i="32"/>
  <c r="AQ23" i="32"/>
  <c r="FO23" i="32"/>
  <c r="DQ23" i="32"/>
  <c r="R23" i="32"/>
  <c r="BL23" i="32"/>
  <c r="FJ23" i="32"/>
  <c r="FW23" i="32"/>
  <c r="AL23" i="32"/>
  <c r="GB23" i="32"/>
  <c r="CC23" i="32"/>
  <c r="AT23" i="32"/>
  <c r="FD23" i="32"/>
  <c r="BG23" i="32"/>
  <c r="GG23" i="32"/>
  <c r="EI23" i="32"/>
  <c r="V23" i="32"/>
  <c r="BR23" i="32"/>
  <c r="DV23" i="32"/>
  <c r="BX23" i="32"/>
  <c r="AE23" i="32"/>
  <c r="BP23" i="32"/>
  <c r="AK23" i="32"/>
  <c r="AB23" i="32"/>
  <c r="AY23" i="32"/>
  <c r="DY23" i="32"/>
  <c r="EV23" i="32"/>
  <c r="EA23" i="32"/>
  <c r="ET23" i="32"/>
  <c r="CR23" i="32"/>
  <c r="DI23" i="32"/>
  <c r="CJ23" i="32"/>
  <c r="GJ23" i="32"/>
  <c r="W23" i="32"/>
  <c r="GC23" i="32"/>
  <c r="AX23" i="32"/>
  <c r="DP23" i="32"/>
  <c r="GL23" i="32"/>
  <c r="CT23" i="32"/>
  <c r="FP23" i="32"/>
  <c r="BN23" i="32"/>
  <c r="Q23" i="32"/>
  <c r="CA23" i="32"/>
  <c r="EK23" i="32"/>
  <c r="AA23" i="32"/>
  <c r="CO23" i="32"/>
  <c r="FA23" i="32"/>
  <c r="Z23" i="32"/>
  <c r="EH23" i="32"/>
  <c r="FS23" i="32"/>
  <c r="GE23" i="32"/>
  <c r="CS23" i="32"/>
  <c r="CV23" i="32"/>
  <c r="FB23" i="32"/>
  <c r="GK23" i="32"/>
  <c r="BH23" i="32"/>
  <c r="AJ23" i="32"/>
  <c r="AH23" i="32"/>
  <c r="EM23" i="32"/>
  <c r="BB23" i="32"/>
  <c r="FM23" i="32"/>
  <c r="CL23" i="32"/>
  <c r="S23" i="32"/>
  <c r="U23" i="32"/>
  <c r="DT23" i="32"/>
  <c r="EO23" i="32"/>
  <c r="CZ23" i="32"/>
  <c r="AC23" i="32"/>
  <c r="AO23" i="32"/>
  <c r="BD23" i="32"/>
  <c r="ED23" i="32"/>
  <c r="DD23" i="32"/>
  <c r="FX23" i="32"/>
  <c r="CF23" i="32"/>
  <c r="Y23" i="32"/>
  <c r="CI23" i="32"/>
  <c r="EU23" i="32"/>
  <c r="AI23" i="32"/>
  <c r="CW23" i="32"/>
  <c r="FI23" i="32"/>
  <c r="CE23" i="32"/>
  <c r="FU23" i="32"/>
  <c r="DL23" i="32"/>
  <c r="BE23" i="32"/>
  <c r="BZ23" i="32"/>
  <c r="EJ23" i="32"/>
  <c r="DN23" i="32"/>
  <c r="CX23" i="32"/>
  <c r="CQ23" i="32"/>
  <c r="AS23" i="32"/>
  <c r="FQ23" i="32"/>
  <c r="CK23" i="32"/>
  <c r="GN23" i="32"/>
  <c r="BI23" i="32"/>
  <c r="DS23" i="32"/>
  <c r="FH23" i="32"/>
  <c r="DO23" i="32"/>
  <c r="EG23" i="32"/>
  <c r="EX23" i="32"/>
  <c r="GI23" i="32"/>
  <c r="DJ23" i="32"/>
  <c r="BS23" i="32"/>
  <c r="FZ23" i="32"/>
  <c r="BU23" i="32"/>
  <c r="P23" i="32"/>
  <c r="AR23" i="32"/>
  <c r="GD23" i="32"/>
  <c r="AG23" i="32"/>
  <c r="FC23" i="32"/>
  <c r="DE23" i="32"/>
  <c r="BO23" i="32"/>
  <c r="CN23" i="32"/>
  <c r="EL23" i="32"/>
  <c r="DU23" i="32"/>
  <c r="CU23" i="32"/>
  <c r="AD23" i="32"/>
  <c r="BQ23" i="32"/>
  <c r="DB23" i="32"/>
  <c r="DW23" i="32"/>
  <c r="EY23" i="32"/>
  <c r="GF23" i="32"/>
  <c r="DK23" i="32"/>
  <c r="AN23" i="32"/>
  <c r="FR23" i="32"/>
  <c r="DZ23" i="32"/>
  <c r="CM23" i="32"/>
  <c r="BW23" i="32"/>
  <c r="CH23" i="32"/>
  <c r="ER23" i="32"/>
  <c r="AZ23" i="32"/>
  <c r="DX23" i="32"/>
  <c r="GH23" i="32"/>
  <c r="DR23" i="32"/>
  <c r="AM23" i="32"/>
  <c r="CY23" i="32"/>
  <c r="FK23" i="32"/>
  <c r="BA23" i="32"/>
  <c r="DM23" i="32"/>
  <c r="FY23" i="32"/>
  <c r="BM23" i="32"/>
  <c r="DC23" i="32"/>
  <c r="BJ23" i="32"/>
  <c r="DG23" i="32"/>
  <c r="DA23" i="32"/>
  <c r="BC23" i="32"/>
  <c r="EF23" i="32"/>
  <c r="BK23" i="32"/>
  <c r="CD23" i="32"/>
  <c r="BF23" i="32"/>
  <c r="EZ23" i="32"/>
  <c r="AU23" i="32"/>
  <c r="CP23" i="32"/>
  <c r="BT23" i="32"/>
  <c r="GA23" i="32"/>
  <c r="EB23" i="32"/>
  <c r="CB23" i="32"/>
  <c r="BY23" i="32"/>
  <c r="BV23" i="32"/>
  <c r="AP23" i="32"/>
  <c r="FF23" i="32"/>
  <c r="CG23" i="32"/>
  <c r="X23" i="32"/>
  <c r="EP23" i="32"/>
  <c r="EC23" i="32"/>
  <c r="FE23" i="32"/>
  <c r="FN23" i="32"/>
  <c r="GM23" i="32"/>
  <c r="O23" i="32"/>
  <c r="FV23" i="32"/>
  <c r="EE23" i="32"/>
  <c r="FG23" i="32"/>
  <c r="EW23" i="32"/>
  <c r="FT23" i="32"/>
  <c r="FL23" i="32"/>
  <c r="AV23" i="32"/>
  <c r="ES23" i="32"/>
  <c r="C14" i="32"/>
  <c r="D14" i="32" s="1"/>
  <c r="E14" i="32" s="1"/>
  <c r="F14" i="32" s="1"/>
  <c r="E23" i="32"/>
  <c r="J23" i="32"/>
  <c r="L23" i="32"/>
  <c r="G15" i="32" s="1"/>
  <c r="H23" i="32"/>
  <c r="K23" i="32"/>
  <c r="F15" i="32" s="1"/>
  <c r="I23" i="32"/>
  <c r="E15" i="32" l="1"/>
  <c r="F16" i="32"/>
  <c r="G14" i="32"/>
  <c r="F23" i="32"/>
  <c r="C16" i="32"/>
  <c r="G16" i="32" l="1"/>
  <c r="H14" i="32"/>
  <c r="E16" i="32"/>
  <c r="D16" i="32"/>
  <c r="I14" i="32" l="1"/>
  <c r="I16" i="32" s="1"/>
  <c r="H16" i="32"/>
  <c r="J14" i="32"/>
  <c r="G12" i="50" s="1"/>
  <c r="G14" i="50" s="1"/>
  <c r="F27" i="50" l="1"/>
  <c r="H15" i="50"/>
  <c r="F29" i="50"/>
  <c r="M18" i="32" s="1"/>
  <c r="F45" i="50"/>
  <c r="J15" i="32"/>
  <c r="J16" i="32" s="1"/>
  <c r="F30" i="50" l="1"/>
  <c r="N18" i="32"/>
  <c r="N17" i="32" s="1"/>
  <c r="P17" i="32" s="1"/>
  <c r="F31" i="50"/>
  <c r="F50" i="50" s="1"/>
  <c r="D37" i="21"/>
  <c r="D38" i="21" s="1"/>
  <c r="F33" i="50"/>
  <c r="F47" i="50" s="1"/>
  <c r="F44" i="50"/>
  <c r="I45" i="50"/>
  <c r="J45" i="50"/>
  <c r="H45" i="50"/>
  <c r="K45" i="50"/>
  <c r="G45" i="50"/>
  <c r="G29" i="50"/>
  <c r="D7" i="46" l="1"/>
  <c r="D7" i="56"/>
  <c r="N41" i="21"/>
  <c r="N42" i="21"/>
  <c r="F54" i="50"/>
  <c r="F57" i="50" s="1"/>
  <c r="G31" i="50"/>
  <c r="F52" i="50"/>
  <c r="C9" i="47"/>
  <c r="G33" i="50"/>
  <c r="K47" i="50"/>
  <c r="K44" i="50"/>
  <c r="G28" i="50" s="1"/>
  <c r="G30" i="50" s="1"/>
  <c r="I44" i="50"/>
  <c r="H44" i="50"/>
  <c r="J44" i="50"/>
  <c r="G44" i="50"/>
  <c r="L92" i="60" l="1"/>
  <c r="L95" i="60"/>
  <c r="D49" i="21"/>
  <c r="E86" i="60" s="1"/>
  <c r="F86" i="60" s="1"/>
  <c r="I47" i="50"/>
  <c r="O16" i="60" s="1"/>
  <c r="G54" i="50"/>
  <c r="I54" i="50"/>
  <c r="K54" i="50"/>
  <c r="J54" i="50"/>
  <c r="H54" i="50"/>
  <c r="K24" i="56"/>
  <c r="N43" i="21"/>
  <c r="O43" i="21" s="1"/>
  <c r="D11" i="42"/>
  <c r="D29" i="42" s="1"/>
  <c r="J47" i="50"/>
  <c r="P17" i="60" s="1"/>
  <c r="G47" i="50"/>
  <c r="M62" i="60" s="1"/>
  <c r="H47" i="50"/>
  <c r="N16" i="60" s="1"/>
  <c r="Q62" i="60"/>
  <c r="Q64" i="60" s="1"/>
  <c r="Q17" i="60"/>
  <c r="Q16" i="60"/>
  <c r="L16" i="60"/>
  <c r="L17" i="60"/>
  <c r="C11" i="47"/>
  <c r="L38" i="60"/>
  <c r="L37" i="60"/>
  <c r="F48" i="50"/>
  <c r="L74" i="46"/>
  <c r="L75" i="46" s="1"/>
  <c r="L16" i="46" s="1"/>
  <c r="D75" i="46"/>
  <c r="D16" i="46" s="1"/>
  <c r="H11" i="47"/>
  <c r="I11" i="42"/>
  <c r="K57" i="46" l="1"/>
  <c r="K55" i="46"/>
  <c r="K56" i="46"/>
  <c r="J57" i="50"/>
  <c r="I57" i="50"/>
  <c r="H57" i="50"/>
  <c r="K57" i="50"/>
  <c r="G57" i="50"/>
  <c r="F11" i="47"/>
  <c r="F12" i="47" s="1"/>
  <c r="O17" i="60"/>
  <c r="O18" i="60" s="1"/>
  <c r="G11" i="42"/>
  <c r="G12" i="42" s="1"/>
  <c r="O62" i="60"/>
  <c r="O64" i="60" s="1"/>
  <c r="L86" i="60"/>
  <c r="E87" i="60"/>
  <c r="L87" i="60" s="1"/>
  <c r="F87" i="60"/>
  <c r="F88" i="60" s="1"/>
  <c r="G11" i="47"/>
  <c r="P62" i="60"/>
  <c r="P64" i="60" s="1"/>
  <c r="H42" i="47"/>
  <c r="H43" i="47" s="1"/>
  <c r="I22" i="42"/>
  <c r="I23" i="42" s="1"/>
  <c r="J48" i="50"/>
  <c r="P28" i="60" s="1"/>
  <c r="H11" i="42"/>
  <c r="E11" i="42"/>
  <c r="E12" i="42" s="1"/>
  <c r="P16" i="60"/>
  <c r="P18" i="60" s="1"/>
  <c r="K56" i="56"/>
  <c r="K55" i="56"/>
  <c r="K57" i="56"/>
  <c r="M16" i="60"/>
  <c r="F11" i="42"/>
  <c r="E11" i="47"/>
  <c r="E12" i="47" s="1"/>
  <c r="M17" i="60"/>
  <c r="N62" i="60"/>
  <c r="N64" i="60" s="1"/>
  <c r="N17" i="60"/>
  <c r="N18" i="60" s="1"/>
  <c r="D11" i="47"/>
  <c r="D12" i="47" s="1"/>
  <c r="Q18" i="60"/>
  <c r="D24" i="56"/>
  <c r="D30" i="56"/>
  <c r="D31" i="56" s="1"/>
  <c r="D11" i="56" s="1"/>
  <c r="M64" i="60"/>
  <c r="L39" i="60"/>
  <c r="L18" i="60"/>
  <c r="H48" i="50"/>
  <c r="N28" i="60" s="1"/>
  <c r="L30" i="60"/>
  <c r="L29" i="60"/>
  <c r="K71" i="21" s="1"/>
  <c r="D34" i="42" s="1"/>
  <c r="L28" i="60"/>
  <c r="L25" i="60"/>
  <c r="L24" i="60"/>
  <c r="K77" i="21" s="1"/>
  <c r="D45" i="42" s="1"/>
  <c r="L23" i="60"/>
  <c r="K48" i="50"/>
  <c r="H50" i="50"/>
  <c r="G48" i="50"/>
  <c r="I48" i="50"/>
  <c r="I50" i="50"/>
  <c r="J50" i="50"/>
  <c r="G50" i="50"/>
  <c r="K50" i="50"/>
  <c r="D30" i="46"/>
  <c r="D24" i="46"/>
  <c r="M92" i="60" l="1"/>
  <c r="E89" i="46" s="1"/>
  <c r="M95" i="60"/>
  <c r="N92" i="60"/>
  <c r="F90" i="56" s="1"/>
  <c r="N95" i="60"/>
  <c r="P92" i="60"/>
  <c r="H90" i="56" s="1"/>
  <c r="P95" i="60"/>
  <c r="Q92" i="60"/>
  <c r="I90" i="56" s="1"/>
  <c r="Q95" i="60"/>
  <c r="O92" i="60"/>
  <c r="G89" i="46" s="1"/>
  <c r="O95" i="60"/>
  <c r="P29" i="60"/>
  <c r="O71" i="21" s="1"/>
  <c r="H34" i="42" s="1"/>
  <c r="P24" i="60"/>
  <c r="O77" i="21" s="1"/>
  <c r="H45" i="42" s="1"/>
  <c r="P25" i="60"/>
  <c r="F89" i="60"/>
  <c r="E88" i="60"/>
  <c r="L88" i="60" s="1"/>
  <c r="L89" i="60" s="1"/>
  <c r="M86" i="60"/>
  <c r="E83" i="56" s="1"/>
  <c r="M83" i="56" s="1"/>
  <c r="M84" i="56" s="1"/>
  <c r="M17" i="56" s="1"/>
  <c r="G86" i="60"/>
  <c r="H86" i="60" s="1"/>
  <c r="I86" i="60" s="1"/>
  <c r="P23" i="60"/>
  <c r="P30" i="60"/>
  <c r="P31" i="60" s="1"/>
  <c r="I29" i="42"/>
  <c r="F7" i="56"/>
  <c r="F7" i="46"/>
  <c r="G7" i="56"/>
  <c r="G7" i="46"/>
  <c r="E42" i="47"/>
  <c r="E43" i="47" s="1"/>
  <c r="F22" i="42"/>
  <c r="F23" i="42" s="1"/>
  <c r="D42" i="47"/>
  <c r="D43" i="47" s="1"/>
  <c r="E22" i="42"/>
  <c r="E24" i="56" s="1"/>
  <c r="M24" i="56" s="1"/>
  <c r="M25" i="56" s="1"/>
  <c r="M10" i="56" s="1"/>
  <c r="E7" i="46"/>
  <c r="E7" i="56"/>
  <c r="I7" i="46"/>
  <c r="I7" i="56"/>
  <c r="H7" i="46"/>
  <c r="H7" i="56"/>
  <c r="F42" i="47"/>
  <c r="F43" i="47" s="1"/>
  <c r="G22" i="42"/>
  <c r="G42" i="47"/>
  <c r="G43" i="47" s="1"/>
  <c r="H22" i="42"/>
  <c r="H30" i="56" s="1"/>
  <c r="H31" i="56" s="1"/>
  <c r="F12" i="42"/>
  <c r="M18" i="60"/>
  <c r="I24" i="56"/>
  <c r="I30" i="56"/>
  <c r="I31" i="56" s="1"/>
  <c r="L24" i="56"/>
  <c r="L25" i="56" s="1"/>
  <c r="D25" i="56"/>
  <c r="D10" i="56" s="1"/>
  <c r="N29" i="60"/>
  <c r="M71" i="21" s="1"/>
  <c r="N30" i="60"/>
  <c r="G52" i="50"/>
  <c r="D9" i="47"/>
  <c r="N24" i="60"/>
  <c r="M77" i="21" s="1"/>
  <c r="H52" i="50"/>
  <c r="E9" i="47"/>
  <c r="N23" i="60"/>
  <c r="J52" i="50"/>
  <c r="G9" i="47"/>
  <c r="N25" i="60"/>
  <c r="K52" i="50"/>
  <c r="H9" i="47"/>
  <c r="I52" i="50"/>
  <c r="F9" i="47"/>
  <c r="L26" i="60"/>
  <c r="L31" i="60"/>
  <c r="C12" i="47"/>
  <c r="D12" i="42"/>
  <c r="O30" i="60"/>
  <c r="O29" i="60"/>
  <c r="N71" i="21" s="1"/>
  <c r="O28" i="60"/>
  <c r="O25" i="60"/>
  <c r="O24" i="60"/>
  <c r="N77" i="21" s="1"/>
  <c r="O23" i="60"/>
  <c r="L46" i="60"/>
  <c r="C18" i="47" s="1"/>
  <c r="D39" i="56" s="1"/>
  <c r="D48" i="56" s="1"/>
  <c r="L45" i="60"/>
  <c r="L44" i="60"/>
  <c r="K75" i="21" s="1"/>
  <c r="D44" i="42" s="1"/>
  <c r="D50" i="42" s="1"/>
  <c r="M25" i="60"/>
  <c r="M24" i="60"/>
  <c r="L77" i="21" s="1"/>
  <c r="M23" i="60"/>
  <c r="M30" i="60"/>
  <c r="M29" i="60"/>
  <c r="L71" i="21" s="1"/>
  <c r="M28" i="60"/>
  <c r="Q25" i="60"/>
  <c r="Q24" i="60"/>
  <c r="P77" i="21" s="1"/>
  <c r="Q23" i="60"/>
  <c r="Q29" i="60"/>
  <c r="P71" i="21" s="1"/>
  <c r="Q28" i="60"/>
  <c r="Q30" i="60"/>
  <c r="L51" i="60"/>
  <c r="C25" i="47" s="1"/>
  <c r="L50" i="60"/>
  <c r="C24" i="47" s="1"/>
  <c r="L49" i="60"/>
  <c r="K69" i="21" s="1"/>
  <c r="D33" i="42" s="1"/>
  <c r="D39" i="42" s="1"/>
  <c r="I12" i="42"/>
  <c r="H12" i="47"/>
  <c r="H12" i="42"/>
  <c r="G12" i="47"/>
  <c r="D8" i="42"/>
  <c r="I24" i="46"/>
  <c r="I30" i="46"/>
  <c r="L30" i="46"/>
  <c r="H89" i="46" l="1"/>
  <c r="P89" i="46" s="1"/>
  <c r="G90" i="56"/>
  <c r="O90" i="56" s="1"/>
  <c r="E90" i="56"/>
  <c r="M90" i="56" s="1"/>
  <c r="F89" i="46"/>
  <c r="E90" i="47" s="1"/>
  <c r="I89" i="46"/>
  <c r="H90" i="47" s="1"/>
  <c r="G91" i="56"/>
  <c r="O91" i="56" s="1"/>
  <c r="G90" i="46"/>
  <c r="I91" i="56"/>
  <c r="Q91" i="56" s="1"/>
  <c r="I90" i="46"/>
  <c r="H90" i="46"/>
  <c r="H91" i="56"/>
  <c r="P91" i="56" s="1"/>
  <c r="F90" i="46"/>
  <c r="F91" i="56"/>
  <c r="N91" i="56" s="1"/>
  <c r="E91" i="56"/>
  <c r="M91" i="56" s="1"/>
  <c r="E90" i="46"/>
  <c r="E91" i="46" s="1"/>
  <c r="F90" i="47"/>
  <c r="D90" i="47"/>
  <c r="M31" i="60"/>
  <c r="O89" i="46"/>
  <c r="Q90" i="56"/>
  <c r="P90" i="56"/>
  <c r="N90" i="56"/>
  <c r="M89" i="46"/>
  <c r="P26" i="60"/>
  <c r="P32" i="60" s="1"/>
  <c r="F30" i="56"/>
  <c r="F31" i="56" s="1"/>
  <c r="F32" i="56" s="1"/>
  <c r="M85" i="56"/>
  <c r="O78" i="21"/>
  <c r="G37" i="47" s="1"/>
  <c r="E89" i="60"/>
  <c r="M87" i="60"/>
  <c r="M88" i="60" s="1"/>
  <c r="M89" i="60" s="1"/>
  <c r="E84" i="56"/>
  <c r="E17" i="56" s="1"/>
  <c r="E82" i="46"/>
  <c r="N86" i="60"/>
  <c r="G87" i="60"/>
  <c r="O86" i="60"/>
  <c r="G83" i="56" s="1"/>
  <c r="O83" i="56" s="1"/>
  <c r="O84" i="56" s="1"/>
  <c r="H87" i="60"/>
  <c r="H88" i="60" s="1"/>
  <c r="H89" i="60" s="1"/>
  <c r="F24" i="46"/>
  <c r="H24" i="46"/>
  <c r="H24" i="56"/>
  <c r="H25" i="56" s="1"/>
  <c r="F29" i="42"/>
  <c r="H30" i="46"/>
  <c r="F24" i="56"/>
  <c r="N24" i="56" s="1"/>
  <c r="N25" i="56" s="1"/>
  <c r="E29" i="42"/>
  <c r="G23" i="42"/>
  <c r="G30" i="56"/>
  <c r="G31" i="56" s="1"/>
  <c r="G30" i="46"/>
  <c r="O30" i="46" s="1"/>
  <c r="G24" i="46"/>
  <c r="G24" i="56"/>
  <c r="G29" i="42"/>
  <c r="E23" i="42"/>
  <c r="E24" i="46"/>
  <c r="E30" i="56"/>
  <c r="E31" i="56" s="1"/>
  <c r="E30" i="46"/>
  <c r="M30" i="46" s="1"/>
  <c r="M31" i="46" s="1"/>
  <c r="N11" i="46" s="1"/>
  <c r="H23" i="42"/>
  <c r="H29" i="42"/>
  <c r="L32" i="60"/>
  <c r="F30" i="46"/>
  <c r="F45" i="42"/>
  <c r="M78" i="21"/>
  <c r="E37" i="47" s="1"/>
  <c r="M72" i="21"/>
  <c r="E32" i="47" s="1"/>
  <c r="F34" i="42"/>
  <c r="E45" i="42"/>
  <c r="L78" i="21"/>
  <c r="D37" i="47" s="1"/>
  <c r="E34" i="42"/>
  <c r="L72" i="21"/>
  <c r="D32" i="47" s="1"/>
  <c r="G34" i="42"/>
  <c r="N72" i="21"/>
  <c r="F32" i="47" s="1"/>
  <c r="P72" i="21"/>
  <c r="H32" i="47" s="1"/>
  <c r="I34" i="42"/>
  <c r="P78" i="21"/>
  <c r="H37" i="47" s="1"/>
  <c r="I45" i="42"/>
  <c r="N78" i="21"/>
  <c r="F37" i="47" s="1"/>
  <c r="G45" i="42"/>
  <c r="O72" i="21"/>
  <c r="G32" i="47" s="1"/>
  <c r="E8" i="42"/>
  <c r="E13" i="42" s="1"/>
  <c r="D13" i="42"/>
  <c r="E25" i="56"/>
  <c r="E10" i="56" s="1"/>
  <c r="H32" i="56"/>
  <c r="H11" i="56"/>
  <c r="D56" i="46"/>
  <c r="D56" i="56"/>
  <c r="Q24" i="56"/>
  <c r="Q25" i="56" s="1"/>
  <c r="I25" i="56"/>
  <c r="I32" i="56"/>
  <c r="I11" i="56"/>
  <c r="M26" i="56"/>
  <c r="L10" i="56"/>
  <c r="C23" i="47"/>
  <c r="L52" i="60"/>
  <c r="N26" i="60"/>
  <c r="D17" i="42"/>
  <c r="D18" i="42"/>
  <c r="C16" i="47"/>
  <c r="D39" i="46"/>
  <c r="D48" i="46" s="1"/>
  <c r="L48" i="46" s="1"/>
  <c r="P38" i="60"/>
  <c r="P49" i="60" s="1"/>
  <c r="O69" i="21" s="1"/>
  <c r="P37" i="60"/>
  <c r="P45" i="60" s="1"/>
  <c r="M38" i="60"/>
  <c r="M50" i="60" s="1"/>
  <c r="D24" i="47" s="1"/>
  <c r="M37" i="60"/>
  <c r="M44" i="60" s="1"/>
  <c r="D16" i="47" s="1"/>
  <c r="E37" i="56" s="1"/>
  <c r="O38" i="60"/>
  <c r="O51" i="60" s="1"/>
  <c r="F25" i="47" s="1"/>
  <c r="O37" i="60"/>
  <c r="C17" i="47"/>
  <c r="D38" i="56" s="1"/>
  <c r="D47" i="56" s="1"/>
  <c r="Q38" i="60"/>
  <c r="Q51" i="60" s="1"/>
  <c r="H25" i="47" s="1"/>
  <c r="Q37" i="60"/>
  <c r="Q46" i="60" s="1"/>
  <c r="H18" i="47" s="1"/>
  <c r="I39" i="56" s="1"/>
  <c r="I48" i="56" s="1"/>
  <c r="N38" i="60"/>
  <c r="N51" i="60" s="1"/>
  <c r="E25" i="47" s="1"/>
  <c r="N37" i="60"/>
  <c r="D19" i="42"/>
  <c r="D28" i="42" s="1"/>
  <c r="O31" i="60"/>
  <c r="L47" i="60"/>
  <c r="N31" i="60"/>
  <c r="Q26" i="60"/>
  <c r="O26" i="60"/>
  <c r="Q31" i="60"/>
  <c r="M26" i="60"/>
  <c r="I87" i="60"/>
  <c r="I88" i="60" s="1"/>
  <c r="I89" i="60" s="1"/>
  <c r="J86" i="60"/>
  <c r="P86" i="60"/>
  <c r="H83" i="56" s="1"/>
  <c r="G8" i="42"/>
  <c r="G13" i="42" s="1"/>
  <c r="H8" i="42"/>
  <c r="H13" i="42" s="1"/>
  <c r="I8" i="42"/>
  <c r="I13" i="42" s="1"/>
  <c r="F8" i="42"/>
  <c r="F13" i="42" s="1"/>
  <c r="L82" i="46"/>
  <c r="L31" i="46"/>
  <c r="L11" i="46" s="1"/>
  <c r="L25" i="46"/>
  <c r="D25" i="46"/>
  <c r="D10" i="46" s="1"/>
  <c r="N89" i="46" l="1"/>
  <c r="Q89" i="46"/>
  <c r="G90" i="47"/>
  <c r="H91" i="46"/>
  <c r="H92" i="46" s="1"/>
  <c r="F91" i="46"/>
  <c r="F18" i="46" s="1"/>
  <c r="H92" i="56"/>
  <c r="H93" i="56" s="1"/>
  <c r="P92" i="56"/>
  <c r="P93" i="56" s="1"/>
  <c r="Q92" i="56"/>
  <c r="Q18" i="56" s="1"/>
  <c r="M92" i="56"/>
  <c r="M18" i="56" s="1"/>
  <c r="O92" i="56"/>
  <c r="O18" i="56" s="1"/>
  <c r="I92" i="56"/>
  <c r="I93" i="56" s="1"/>
  <c r="E92" i="56"/>
  <c r="E93" i="56" s="1"/>
  <c r="M90" i="46"/>
  <c r="M91" i="46" s="1"/>
  <c r="D91" i="47"/>
  <c r="Q90" i="46"/>
  <c r="Q91" i="46" s="1"/>
  <c r="H91" i="47"/>
  <c r="O90" i="46"/>
  <c r="O91" i="46" s="1"/>
  <c r="F91" i="47"/>
  <c r="I91" i="46"/>
  <c r="I18" i="46" s="1"/>
  <c r="N92" i="56"/>
  <c r="N93" i="56" s="1"/>
  <c r="F92" i="56"/>
  <c r="F93" i="56" s="1"/>
  <c r="G91" i="46"/>
  <c r="G92" i="46" s="1"/>
  <c r="N90" i="46"/>
  <c r="E91" i="47"/>
  <c r="P90" i="46"/>
  <c r="P91" i="46" s="1"/>
  <c r="G91" i="47"/>
  <c r="G92" i="56"/>
  <c r="G93" i="56" s="1"/>
  <c r="F11" i="56"/>
  <c r="N32" i="60"/>
  <c r="L53" i="60"/>
  <c r="E92" i="46"/>
  <c r="E18" i="46"/>
  <c r="D65" i="46"/>
  <c r="L56" i="46"/>
  <c r="P24" i="56"/>
  <c r="P25" i="56" s="1"/>
  <c r="P26" i="56" s="1"/>
  <c r="F25" i="56"/>
  <c r="F10" i="56" s="1"/>
  <c r="G84" i="56"/>
  <c r="G85" i="56" s="1"/>
  <c r="G82" i="46"/>
  <c r="O82" i="46" s="1"/>
  <c r="E85" i="56"/>
  <c r="O87" i="60"/>
  <c r="O88" i="60" s="1"/>
  <c r="O89" i="60" s="1"/>
  <c r="G88" i="60"/>
  <c r="G89" i="60" s="1"/>
  <c r="F83" i="56"/>
  <c r="F82" i="46"/>
  <c r="N82" i="46" s="1"/>
  <c r="N87" i="60"/>
  <c r="N88" i="60" s="1"/>
  <c r="N89" i="60" s="1"/>
  <c r="E26" i="56"/>
  <c r="D72" i="47" s="1"/>
  <c r="M32" i="60"/>
  <c r="G32" i="56"/>
  <c r="G11" i="56"/>
  <c r="E32" i="56"/>
  <c r="E11" i="56"/>
  <c r="O24" i="56"/>
  <c r="O25" i="56" s="1"/>
  <c r="G25" i="56"/>
  <c r="L75" i="21"/>
  <c r="O32" i="60"/>
  <c r="Q32" i="60"/>
  <c r="H33" i="42"/>
  <c r="H39" i="42" s="1"/>
  <c r="H40" i="42" s="1"/>
  <c r="F57" i="56"/>
  <c r="F66" i="56" s="1"/>
  <c r="D20" i="42"/>
  <c r="Q45" i="60"/>
  <c r="H17" i="47" s="1"/>
  <c r="I38" i="56" s="1"/>
  <c r="I47" i="56" s="1"/>
  <c r="D65" i="56"/>
  <c r="L56" i="56"/>
  <c r="E56" i="46"/>
  <c r="E56" i="56"/>
  <c r="C26" i="47"/>
  <c r="D57" i="56"/>
  <c r="O17" i="56"/>
  <c r="O85" i="56"/>
  <c r="H26" i="56"/>
  <c r="G72" i="47" s="1"/>
  <c r="H10" i="56"/>
  <c r="H84" i="56"/>
  <c r="P83" i="56"/>
  <c r="P84" i="56" s="1"/>
  <c r="I10" i="56"/>
  <c r="I26" i="56"/>
  <c r="H72" i="47" s="1"/>
  <c r="D37" i="46"/>
  <c r="D46" i="46" s="1"/>
  <c r="L46" i="46" s="1"/>
  <c r="D37" i="56"/>
  <c r="N10" i="56"/>
  <c r="N26" i="56"/>
  <c r="E46" i="56"/>
  <c r="D55" i="46"/>
  <c r="D55" i="56"/>
  <c r="L55" i="56" s="1"/>
  <c r="Q10" i="56"/>
  <c r="Q26" i="56"/>
  <c r="G23" i="47"/>
  <c r="M45" i="60"/>
  <c r="D17" i="47" s="1"/>
  <c r="E38" i="56" s="1"/>
  <c r="E47" i="56" s="1"/>
  <c r="P46" i="60"/>
  <c r="G18" i="47" s="1"/>
  <c r="H39" i="56" s="1"/>
  <c r="H48" i="56" s="1"/>
  <c r="M46" i="60"/>
  <c r="D18" i="47" s="1"/>
  <c r="M51" i="60"/>
  <c r="D25" i="47" s="1"/>
  <c r="M49" i="60"/>
  <c r="C19" i="47"/>
  <c r="D57" i="46"/>
  <c r="L57" i="46" s="1"/>
  <c r="P50" i="60"/>
  <c r="G24" i="47" s="1"/>
  <c r="P51" i="60"/>
  <c r="Q49" i="60"/>
  <c r="P69" i="21" s="1"/>
  <c r="I33" i="42" s="1"/>
  <c r="Q50" i="60"/>
  <c r="H24" i="47" s="1"/>
  <c r="F57" i="46"/>
  <c r="Q39" i="60"/>
  <c r="G57" i="56"/>
  <c r="N39" i="60"/>
  <c r="P44" i="60"/>
  <c r="O75" i="21" s="1"/>
  <c r="O39" i="60"/>
  <c r="O49" i="60"/>
  <c r="N69" i="21" s="1"/>
  <c r="O70" i="21" s="1"/>
  <c r="G31" i="47" s="1"/>
  <c r="P39" i="60"/>
  <c r="E37" i="46"/>
  <c r="E46" i="46" s="1"/>
  <c r="M46" i="46" s="1"/>
  <c r="I39" i="46"/>
  <c r="I48" i="46" s="1"/>
  <c r="Q48" i="46" s="1"/>
  <c r="O50" i="60"/>
  <c r="F24" i="47" s="1"/>
  <c r="O44" i="60"/>
  <c r="N75" i="21" s="1"/>
  <c r="I19" i="42"/>
  <c r="I28" i="42" s="1"/>
  <c r="O45" i="60"/>
  <c r="M39" i="60"/>
  <c r="N44" i="60"/>
  <c r="M75" i="21" s="1"/>
  <c r="O46" i="60"/>
  <c r="G17" i="47"/>
  <c r="H38" i="56" s="1"/>
  <c r="H47" i="56" s="1"/>
  <c r="N45" i="60"/>
  <c r="N49" i="60"/>
  <c r="M69" i="21" s="1"/>
  <c r="N46" i="60"/>
  <c r="N50" i="60"/>
  <c r="E24" i="47" s="1"/>
  <c r="Q44" i="60"/>
  <c r="D38" i="46"/>
  <c r="D47" i="46" s="1"/>
  <c r="L47" i="46" s="1"/>
  <c r="D27" i="42"/>
  <c r="J87" i="60"/>
  <c r="J88" i="60" s="1"/>
  <c r="J89" i="60" s="1"/>
  <c r="Q86" i="60"/>
  <c r="I83" i="56" s="1"/>
  <c r="H82" i="46"/>
  <c r="P82" i="46" s="1"/>
  <c r="P87" i="60"/>
  <c r="D26" i="42"/>
  <c r="D31" i="46"/>
  <c r="O31" i="46"/>
  <c r="N30" i="46"/>
  <c r="P30" i="46"/>
  <c r="Q30" i="46"/>
  <c r="M25" i="46"/>
  <c r="M26" i="46" s="1"/>
  <c r="O25" i="46"/>
  <c r="O26" i="46" s="1"/>
  <c r="L83" i="46"/>
  <c r="L17" i="46" s="1"/>
  <c r="M82" i="46"/>
  <c r="D83" i="46"/>
  <c r="D17" i="46" s="1"/>
  <c r="N91" i="46" l="1"/>
  <c r="H18" i="46"/>
  <c r="P18" i="56"/>
  <c r="F92" i="46"/>
  <c r="H18" i="56"/>
  <c r="Q93" i="56"/>
  <c r="O93" i="56"/>
  <c r="E18" i="56"/>
  <c r="M93" i="56"/>
  <c r="G18" i="46"/>
  <c r="N18" i="56"/>
  <c r="G18" i="56"/>
  <c r="I92" i="46"/>
  <c r="I18" i="56"/>
  <c r="O92" i="46"/>
  <c r="O18" i="46"/>
  <c r="Q18" i="46"/>
  <c r="Q92" i="46"/>
  <c r="F18" i="56"/>
  <c r="P18" i="46"/>
  <c r="P92" i="46"/>
  <c r="N92" i="46"/>
  <c r="N18" i="46"/>
  <c r="M92" i="46"/>
  <c r="M18" i="46"/>
  <c r="P10" i="56"/>
  <c r="F66" i="46"/>
  <c r="N57" i="46"/>
  <c r="D64" i="46"/>
  <c r="L55" i="46"/>
  <c r="L58" i="46" s="1"/>
  <c r="L15" i="46" s="1"/>
  <c r="E65" i="46"/>
  <c r="M56" i="46"/>
  <c r="D89" i="47"/>
  <c r="F89" i="47"/>
  <c r="F26" i="56"/>
  <c r="E72" i="47" s="1"/>
  <c r="G17" i="56"/>
  <c r="N83" i="56"/>
  <c r="N84" i="56" s="1"/>
  <c r="F84" i="56"/>
  <c r="C27" i="47"/>
  <c r="Q47" i="60"/>
  <c r="Q57" i="60" s="1"/>
  <c r="I74" i="56" s="1"/>
  <c r="Q74" i="56" s="1"/>
  <c r="Q75" i="56" s="1"/>
  <c r="P75" i="21"/>
  <c r="F44" i="42"/>
  <c r="F50" i="42" s="1"/>
  <c r="F51" i="42" s="1"/>
  <c r="M76" i="21"/>
  <c r="E36" i="47" s="1"/>
  <c r="G44" i="42"/>
  <c r="G50" i="42" s="1"/>
  <c r="G51" i="42" s="1"/>
  <c r="N76" i="21"/>
  <c r="F36" i="47" s="1"/>
  <c r="G10" i="56"/>
  <c r="G26" i="56"/>
  <c r="F72" i="47" s="1"/>
  <c r="E44" i="42"/>
  <c r="E50" i="42" s="1"/>
  <c r="E52" i="42" s="1"/>
  <c r="L76" i="21"/>
  <c r="D36" i="47" s="1"/>
  <c r="H44" i="42"/>
  <c r="H50" i="42" s="1"/>
  <c r="H51" i="42" s="1"/>
  <c r="O76" i="21"/>
  <c r="G36" i="47" s="1"/>
  <c r="O10" i="56"/>
  <c r="O26" i="56"/>
  <c r="I38" i="46"/>
  <c r="I47" i="46" s="1"/>
  <c r="Q47" i="46" s="1"/>
  <c r="N57" i="56"/>
  <c r="N70" i="21"/>
  <c r="F31" i="47" s="1"/>
  <c r="G33" i="42"/>
  <c r="G39" i="42" s="1"/>
  <c r="P70" i="21"/>
  <c r="H31" i="47" s="1"/>
  <c r="I39" i="42"/>
  <c r="F33" i="42"/>
  <c r="F39" i="42" s="1"/>
  <c r="H19" i="42"/>
  <c r="H28" i="42" s="1"/>
  <c r="G25" i="47"/>
  <c r="H57" i="56" s="1"/>
  <c r="E17" i="42"/>
  <c r="E26" i="42" s="1"/>
  <c r="L69" i="21"/>
  <c r="E18" i="42"/>
  <c r="E27" i="42" s="1"/>
  <c r="P47" i="60"/>
  <c r="P57" i="60" s="1"/>
  <c r="H74" i="56" s="1"/>
  <c r="P74" i="56" s="1"/>
  <c r="P75" i="56" s="1"/>
  <c r="E38" i="46"/>
  <c r="E47" i="46" s="1"/>
  <c r="M47" i="46" s="1"/>
  <c r="L49" i="46"/>
  <c r="L13" i="46" s="1"/>
  <c r="D66" i="56"/>
  <c r="L57" i="56"/>
  <c r="L58" i="56" s="1"/>
  <c r="L14" i="56" s="1"/>
  <c r="G66" i="56"/>
  <c r="O57" i="56"/>
  <c r="E65" i="56"/>
  <c r="M56" i="56"/>
  <c r="G16" i="47"/>
  <c r="H37" i="56" s="1"/>
  <c r="H46" i="56" s="1"/>
  <c r="H49" i="56" s="1"/>
  <c r="E57" i="46"/>
  <c r="E57" i="56"/>
  <c r="E39" i="46"/>
  <c r="E48" i="46" s="1"/>
  <c r="M48" i="46" s="1"/>
  <c r="E39" i="56"/>
  <c r="E48" i="56" s="1"/>
  <c r="E49" i="56" s="1"/>
  <c r="D58" i="56"/>
  <c r="D14" i="56" s="1"/>
  <c r="D64" i="56"/>
  <c r="I57" i="46"/>
  <c r="I57" i="56"/>
  <c r="D46" i="56"/>
  <c r="D49" i="56" s="1"/>
  <c r="D13" i="56" s="1"/>
  <c r="D40" i="56"/>
  <c r="D12" i="56" s="1"/>
  <c r="P85" i="56"/>
  <c r="P17" i="56"/>
  <c r="Q83" i="56"/>
  <c r="Q84" i="56" s="1"/>
  <c r="I84" i="56"/>
  <c r="I56" i="46"/>
  <c r="I56" i="56"/>
  <c r="H56" i="46"/>
  <c r="H56" i="56"/>
  <c r="F56" i="46"/>
  <c r="F56" i="56"/>
  <c r="G56" i="46"/>
  <c r="G56" i="56"/>
  <c r="H55" i="46"/>
  <c r="H55" i="56"/>
  <c r="P55" i="56" s="1"/>
  <c r="H17" i="56"/>
  <c r="H85" i="56"/>
  <c r="H23" i="47"/>
  <c r="H26" i="47" s="1"/>
  <c r="Q52" i="60"/>
  <c r="D23" i="47"/>
  <c r="E55" i="56" s="1"/>
  <c r="M55" i="56" s="1"/>
  <c r="M52" i="60"/>
  <c r="E19" i="42"/>
  <c r="E28" i="42" s="1"/>
  <c r="F23" i="47"/>
  <c r="G55" i="56" s="1"/>
  <c r="O55" i="56" s="1"/>
  <c r="O52" i="60"/>
  <c r="H17" i="42"/>
  <c r="M47" i="60"/>
  <c r="M57" i="60" s="1"/>
  <c r="D19" i="47"/>
  <c r="E23" i="47"/>
  <c r="E26" i="47" s="1"/>
  <c r="N52" i="60"/>
  <c r="P52" i="60"/>
  <c r="I18" i="42"/>
  <c r="I27" i="42" s="1"/>
  <c r="H18" i="42"/>
  <c r="H27" i="42" s="1"/>
  <c r="G57" i="46"/>
  <c r="D66" i="46"/>
  <c r="D58" i="46"/>
  <c r="D14" i="46" s="1"/>
  <c r="O47" i="60"/>
  <c r="O57" i="60" s="1"/>
  <c r="D40" i="46"/>
  <c r="D12" i="46" s="1"/>
  <c r="D49" i="46"/>
  <c r="D13" i="46" s="1"/>
  <c r="F17" i="47"/>
  <c r="G38" i="56" s="1"/>
  <c r="G47" i="56" s="1"/>
  <c r="G18" i="42"/>
  <c r="G27" i="42" s="1"/>
  <c r="F16" i="47"/>
  <c r="G37" i="56" s="1"/>
  <c r="G17" i="42"/>
  <c r="E18" i="47"/>
  <c r="F39" i="56" s="1"/>
  <c r="F48" i="56" s="1"/>
  <c r="F19" i="42"/>
  <c r="F28" i="42" s="1"/>
  <c r="E16" i="47"/>
  <c r="F37" i="56" s="1"/>
  <c r="F17" i="42"/>
  <c r="H39" i="46"/>
  <c r="H48" i="46" s="1"/>
  <c r="P48" i="46" s="1"/>
  <c r="H16" i="47"/>
  <c r="I37" i="56" s="1"/>
  <c r="I17" i="42"/>
  <c r="E17" i="47"/>
  <c r="F38" i="56" s="1"/>
  <c r="F47" i="56" s="1"/>
  <c r="F18" i="42"/>
  <c r="F27" i="42" s="1"/>
  <c r="G19" i="42"/>
  <c r="G28" i="42" s="1"/>
  <c r="F18" i="47"/>
  <c r="G39" i="56" s="1"/>
  <c r="G48" i="56" s="1"/>
  <c r="H38" i="46"/>
  <c r="N47" i="60"/>
  <c r="N57" i="60" s="1"/>
  <c r="D30" i="42"/>
  <c r="D54" i="42" s="1"/>
  <c r="C49" i="47" s="1"/>
  <c r="I82" i="46"/>
  <c r="Q82" i="46" s="1"/>
  <c r="Q83" i="46" s="1"/>
  <c r="Q87" i="60"/>
  <c r="P88" i="60"/>
  <c r="P89" i="60" s="1"/>
  <c r="O32" i="46"/>
  <c r="O11" i="46"/>
  <c r="N31" i="46"/>
  <c r="N32" i="46" s="1"/>
  <c r="Q25" i="46"/>
  <c r="Q26" i="46" s="1"/>
  <c r="N25" i="46"/>
  <c r="N26" i="46" s="1"/>
  <c r="Q31" i="46"/>
  <c r="P25" i="46"/>
  <c r="P26" i="46" s="1"/>
  <c r="P31" i="46"/>
  <c r="F25" i="46"/>
  <c r="F10" i="46" s="1"/>
  <c r="H25" i="46"/>
  <c r="H26" i="46" s="1"/>
  <c r="I31" i="46"/>
  <c r="I25" i="46"/>
  <c r="I26" i="46" s="1"/>
  <c r="E25" i="46"/>
  <c r="E26" i="46" s="1"/>
  <c r="F31" i="46"/>
  <c r="G31" i="46"/>
  <c r="G25" i="46"/>
  <c r="E31" i="46"/>
  <c r="H31" i="46"/>
  <c r="P83" i="46"/>
  <c r="P84" i="46" s="1"/>
  <c r="O83" i="46"/>
  <c r="N83" i="46"/>
  <c r="M83" i="46"/>
  <c r="H83" i="46"/>
  <c r="H17" i="46" s="1"/>
  <c r="F83" i="46"/>
  <c r="F17" i="46" s="1"/>
  <c r="E83" i="46"/>
  <c r="E17" i="46" s="1"/>
  <c r="G83" i="46"/>
  <c r="G17" i="46" s="1"/>
  <c r="H64" i="46" l="1"/>
  <c r="P55" i="46"/>
  <c r="G65" i="46"/>
  <c r="O56" i="46"/>
  <c r="F65" i="46"/>
  <c r="N56" i="46"/>
  <c r="H65" i="46"/>
  <c r="P56" i="46"/>
  <c r="I65" i="46"/>
  <c r="Q56" i="46"/>
  <c r="I66" i="46"/>
  <c r="Q57" i="46"/>
  <c r="E66" i="46"/>
  <c r="M57" i="46"/>
  <c r="G66" i="46"/>
  <c r="O57" i="46"/>
  <c r="L19" i="56"/>
  <c r="G89" i="47"/>
  <c r="M49" i="46"/>
  <c r="M50" i="46" s="1"/>
  <c r="E51" i="42"/>
  <c r="Q53" i="60"/>
  <c r="F17" i="56"/>
  <c r="F85" i="56"/>
  <c r="F52" i="42"/>
  <c r="N85" i="56"/>
  <c r="N17" i="56"/>
  <c r="I20" i="42"/>
  <c r="P58" i="60"/>
  <c r="P53" i="60"/>
  <c r="G19" i="47"/>
  <c r="G52" i="42"/>
  <c r="M53" i="60"/>
  <c r="N53" i="60"/>
  <c r="O53" i="60"/>
  <c r="I44" i="42"/>
  <c r="I50" i="42" s="1"/>
  <c r="P76" i="21"/>
  <c r="H36" i="47" s="1"/>
  <c r="H52" i="42"/>
  <c r="H37" i="46"/>
  <c r="H46" i="46" s="1"/>
  <c r="P46" i="46" s="1"/>
  <c r="F20" i="42"/>
  <c r="H41" i="42"/>
  <c r="G41" i="42"/>
  <c r="G40" i="42"/>
  <c r="E33" i="42"/>
  <c r="E39" i="42" s="1"/>
  <c r="L70" i="21"/>
  <c r="D31" i="47" s="1"/>
  <c r="M70" i="21"/>
  <c r="E31" i="47" s="1"/>
  <c r="F40" i="42"/>
  <c r="I41" i="42"/>
  <c r="I40" i="42"/>
  <c r="H20" i="42"/>
  <c r="G20" i="42"/>
  <c r="E20" i="42"/>
  <c r="H26" i="42"/>
  <c r="H30" i="42" s="1"/>
  <c r="H54" i="42" s="1"/>
  <c r="G49" i="47" s="1"/>
  <c r="E30" i="42"/>
  <c r="I26" i="42"/>
  <c r="I30" i="42" s="1"/>
  <c r="H40" i="56"/>
  <c r="H41" i="56" s="1"/>
  <c r="G73" i="47" s="1"/>
  <c r="D67" i="56"/>
  <c r="D15" i="56" s="1"/>
  <c r="E74" i="56"/>
  <c r="M74" i="56" s="1"/>
  <c r="M75" i="56" s="1"/>
  <c r="H65" i="56"/>
  <c r="P56" i="56"/>
  <c r="I66" i="56"/>
  <c r="Q57" i="56"/>
  <c r="E66" i="56"/>
  <c r="M57" i="56"/>
  <c r="M58" i="56" s="1"/>
  <c r="P16" i="56"/>
  <c r="P76" i="56"/>
  <c r="G74" i="46"/>
  <c r="O74" i="46" s="1"/>
  <c r="O75" i="46" s="1"/>
  <c r="O76" i="46" s="1"/>
  <c r="G74" i="56"/>
  <c r="O74" i="56" s="1"/>
  <c r="O75" i="56" s="1"/>
  <c r="H75" i="56"/>
  <c r="Q76" i="56"/>
  <c r="Q16" i="56"/>
  <c r="F74" i="56"/>
  <c r="N74" i="56" s="1"/>
  <c r="N75" i="56" s="1"/>
  <c r="H66" i="56"/>
  <c r="P57" i="56"/>
  <c r="G65" i="56"/>
  <c r="O56" i="56"/>
  <c r="O58" i="56" s="1"/>
  <c r="F65" i="56"/>
  <c r="N56" i="56"/>
  <c r="I65" i="56"/>
  <c r="Q56" i="56"/>
  <c r="I75" i="56"/>
  <c r="E49" i="46"/>
  <c r="E50" i="46" s="1"/>
  <c r="D80" i="47" s="1"/>
  <c r="E40" i="46"/>
  <c r="E12" i="46" s="1"/>
  <c r="O58" i="60"/>
  <c r="G64" i="56"/>
  <c r="G58" i="56"/>
  <c r="Q17" i="56"/>
  <c r="Q85" i="56"/>
  <c r="F26" i="47"/>
  <c r="I55" i="46"/>
  <c r="Q55" i="46" s="1"/>
  <c r="I55" i="56"/>
  <c r="Q55" i="56" s="1"/>
  <c r="H64" i="56"/>
  <c r="H58" i="56"/>
  <c r="H13" i="56"/>
  <c r="H50" i="56"/>
  <c r="E40" i="56"/>
  <c r="E50" i="56"/>
  <c r="E13" i="56"/>
  <c r="F40" i="56"/>
  <c r="F46" i="56"/>
  <c r="F49" i="56" s="1"/>
  <c r="I46" i="56"/>
  <c r="I49" i="56" s="1"/>
  <c r="I40" i="56"/>
  <c r="G40" i="56"/>
  <c r="G46" i="56"/>
  <c r="G49" i="56" s="1"/>
  <c r="G55" i="46"/>
  <c r="F55" i="46"/>
  <c r="N55" i="46" s="1"/>
  <c r="F55" i="56"/>
  <c r="N55" i="56" s="1"/>
  <c r="E58" i="56"/>
  <c r="E64" i="56"/>
  <c r="I85" i="56"/>
  <c r="I17" i="56"/>
  <c r="E55" i="46"/>
  <c r="M55" i="46" s="1"/>
  <c r="D26" i="47"/>
  <c r="D27" i="47" s="1"/>
  <c r="N58" i="60"/>
  <c r="F74" i="46"/>
  <c r="M58" i="60"/>
  <c r="E74" i="46"/>
  <c r="G26" i="47"/>
  <c r="L19" i="46"/>
  <c r="D67" i="46"/>
  <c r="D15" i="46" s="1"/>
  <c r="H57" i="46"/>
  <c r="P57" i="46" s="1"/>
  <c r="H47" i="46"/>
  <c r="P47" i="46" s="1"/>
  <c r="G26" i="42"/>
  <c r="G30" i="42" s="1"/>
  <c r="G54" i="42" s="1"/>
  <c r="F49" i="47" s="1"/>
  <c r="G39" i="46"/>
  <c r="G48" i="46" s="1"/>
  <c r="O48" i="46" s="1"/>
  <c r="F38" i="46"/>
  <c r="F47" i="46" s="1"/>
  <c r="N47" i="46" s="1"/>
  <c r="F26" i="42"/>
  <c r="F30" i="42" s="1"/>
  <c r="F54" i="42" s="1"/>
  <c r="E49" i="47" s="1"/>
  <c r="G37" i="46"/>
  <c r="G46" i="46" s="1"/>
  <c r="O46" i="46" s="1"/>
  <c r="F19" i="47"/>
  <c r="I37" i="46"/>
  <c r="H19" i="47"/>
  <c r="H27" i="47" s="1"/>
  <c r="F37" i="46"/>
  <c r="F46" i="46" s="1"/>
  <c r="N46" i="46" s="1"/>
  <c r="E19" i="47"/>
  <c r="E27" i="47" s="1"/>
  <c r="G38" i="46"/>
  <c r="G47" i="46" s="1"/>
  <c r="O47" i="46" s="1"/>
  <c r="F39" i="46"/>
  <c r="F48" i="46" s="1"/>
  <c r="N48" i="46" s="1"/>
  <c r="Q88" i="60"/>
  <c r="Q89" i="60" s="1"/>
  <c r="I83" i="46"/>
  <c r="I17" i="46" s="1"/>
  <c r="H74" i="46"/>
  <c r="M32" i="46"/>
  <c r="M11" i="46"/>
  <c r="Q32" i="46"/>
  <c r="Q11" i="46"/>
  <c r="P32" i="46"/>
  <c r="P11" i="46"/>
  <c r="F26" i="46"/>
  <c r="I10" i="46"/>
  <c r="H10" i="46"/>
  <c r="E10" i="46"/>
  <c r="G26" i="46"/>
  <c r="G10" i="46"/>
  <c r="P17" i="46"/>
  <c r="M17" i="46"/>
  <c r="M84" i="46"/>
  <c r="N84" i="46"/>
  <c r="N17" i="46"/>
  <c r="O84" i="46"/>
  <c r="O17" i="46"/>
  <c r="Q17" i="46"/>
  <c r="Q84" i="46"/>
  <c r="H84" i="46"/>
  <c r="E84" i="46"/>
  <c r="G84" i="46"/>
  <c r="F84" i="46"/>
  <c r="Q58" i="46" l="1"/>
  <c r="Q59" i="46" s="1"/>
  <c r="M13" i="46"/>
  <c r="M58" i="46"/>
  <c r="M59" i="46" s="1"/>
  <c r="N58" i="46"/>
  <c r="N59" i="46" s="1"/>
  <c r="G64" i="46"/>
  <c r="G67" i="46" s="1"/>
  <c r="O55" i="46"/>
  <c r="O58" i="46" s="1"/>
  <c r="P58" i="46"/>
  <c r="C58" i="47"/>
  <c r="H89" i="47"/>
  <c r="E89" i="47"/>
  <c r="H40" i="46"/>
  <c r="H12" i="46" s="1"/>
  <c r="G27" i="47"/>
  <c r="P49" i="46"/>
  <c r="P50" i="46" s="1"/>
  <c r="I51" i="42"/>
  <c r="I52" i="42"/>
  <c r="I54" i="42"/>
  <c r="H49" i="47" s="1"/>
  <c r="E40" i="42"/>
  <c r="E41" i="42"/>
  <c r="E54" i="42"/>
  <c r="D49" i="47" s="1"/>
  <c r="F41" i="42"/>
  <c r="F55" i="42"/>
  <c r="G55" i="42"/>
  <c r="H55" i="42"/>
  <c r="F27" i="47"/>
  <c r="G75" i="46"/>
  <c r="G16" i="46" s="1"/>
  <c r="N58" i="56"/>
  <c r="N14" i="56" s="1"/>
  <c r="E13" i="46"/>
  <c r="E41" i="46"/>
  <c r="F75" i="56"/>
  <c r="H12" i="56"/>
  <c r="G67" i="56"/>
  <c r="G68" i="56" s="1"/>
  <c r="F81" i="47" s="1"/>
  <c r="H67" i="56"/>
  <c r="H15" i="56" s="1"/>
  <c r="Q58" i="56"/>
  <c r="Q59" i="56" s="1"/>
  <c r="P58" i="56"/>
  <c r="P14" i="56" s="1"/>
  <c r="E67" i="56"/>
  <c r="E15" i="56" s="1"/>
  <c r="O14" i="56"/>
  <c r="O59" i="56"/>
  <c r="N16" i="56"/>
  <c r="N76" i="56"/>
  <c r="H16" i="56"/>
  <c r="H76" i="56"/>
  <c r="G75" i="47" s="1"/>
  <c r="M59" i="56"/>
  <c r="M14" i="56"/>
  <c r="O76" i="56"/>
  <c r="O16" i="56"/>
  <c r="M16" i="56"/>
  <c r="M76" i="56"/>
  <c r="G75" i="56"/>
  <c r="G16" i="56" s="1"/>
  <c r="I16" i="56"/>
  <c r="I76" i="56"/>
  <c r="H75" i="47" s="1"/>
  <c r="E75" i="56"/>
  <c r="G58" i="46"/>
  <c r="G59" i="46" s="1"/>
  <c r="E14" i="56"/>
  <c r="E59" i="56"/>
  <c r="D74" i="47" s="1"/>
  <c r="G50" i="56"/>
  <c r="G13" i="56"/>
  <c r="F13" i="56"/>
  <c r="F50" i="56"/>
  <c r="E12" i="56"/>
  <c r="E41" i="56"/>
  <c r="D73" i="47" s="1"/>
  <c r="G59" i="56"/>
  <c r="F74" i="47" s="1"/>
  <c r="G14" i="56"/>
  <c r="F64" i="56"/>
  <c r="F67" i="56" s="1"/>
  <c r="F58" i="56"/>
  <c r="G12" i="56"/>
  <c r="G41" i="56"/>
  <c r="F73" i="47" s="1"/>
  <c r="F12" i="56"/>
  <c r="F41" i="56"/>
  <c r="E73" i="47" s="1"/>
  <c r="I64" i="56"/>
  <c r="I67" i="56" s="1"/>
  <c r="I58" i="56"/>
  <c r="F64" i="46"/>
  <c r="F58" i="46"/>
  <c r="I12" i="56"/>
  <c r="I41" i="56"/>
  <c r="H73" i="47" s="1"/>
  <c r="I64" i="46"/>
  <c r="I58" i="46"/>
  <c r="I13" i="56"/>
  <c r="I50" i="56"/>
  <c r="H14" i="56"/>
  <c r="H59" i="56"/>
  <c r="G74" i="47" s="1"/>
  <c r="M74" i="46"/>
  <c r="M75" i="46" s="1"/>
  <c r="E75" i="46"/>
  <c r="F75" i="46"/>
  <c r="N74" i="46"/>
  <c r="N75" i="46" s="1"/>
  <c r="E64" i="46"/>
  <c r="E58" i="46"/>
  <c r="H66" i="46"/>
  <c r="H58" i="46"/>
  <c r="Q58" i="60"/>
  <c r="N49" i="46"/>
  <c r="N50" i="46" s="1"/>
  <c r="G49" i="46"/>
  <c r="G50" i="46" s="1"/>
  <c r="F80" i="47" s="1"/>
  <c r="I40" i="46"/>
  <c r="I46" i="46"/>
  <c r="Q46" i="46" s="1"/>
  <c r="Q49" i="46" s="1"/>
  <c r="Q50" i="46" s="1"/>
  <c r="O49" i="46"/>
  <c r="O50" i="46" s="1"/>
  <c r="F49" i="46"/>
  <c r="F50" i="46" s="1"/>
  <c r="E80" i="47" s="1"/>
  <c r="H49" i="46"/>
  <c r="H50" i="46" s="1"/>
  <c r="G80" i="47" s="1"/>
  <c r="G40" i="46"/>
  <c r="F40" i="46"/>
  <c r="I84" i="46"/>
  <c r="I74" i="46"/>
  <c r="I75" i="46" s="1"/>
  <c r="P74" i="46"/>
  <c r="P75" i="46" s="1"/>
  <c r="P76" i="46" s="1"/>
  <c r="O16" i="46"/>
  <c r="H75" i="46"/>
  <c r="M15" i="46" l="1"/>
  <c r="N15" i="46"/>
  <c r="Q15" i="46"/>
  <c r="M19" i="56"/>
  <c r="O19" i="56"/>
  <c r="N19" i="56"/>
  <c r="O15" i="46"/>
  <c r="O59" i="46"/>
  <c r="P15" i="46"/>
  <c r="P59" i="46"/>
  <c r="P19" i="56"/>
  <c r="P13" i="46"/>
  <c r="H41" i="46"/>
  <c r="E55" i="42"/>
  <c r="E56" i="42" s="1"/>
  <c r="G76" i="46"/>
  <c r="F82" i="47" s="1"/>
  <c r="F85" i="47" s="1"/>
  <c r="I55" i="42"/>
  <c r="I56" i="42" s="1"/>
  <c r="E68" i="56"/>
  <c r="D81" i="47" s="1"/>
  <c r="G14" i="46"/>
  <c r="N59" i="56"/>
  <c r="H68" i="56"/>
  <c r="G81" i="47" s="1"/>
  <c r="H56" i="42"/>
  <c r="G15" i="56"/>
  <c r="G76" i="56"/>
  <c r="F75" i="47" s="1"/>
  <c r="F16" i="56"/>
  <c r="F76" i="56"/>
  <c r="E75" i="47" s="1"/>
  <c r="P59" i="56"/>
  <c r="Q14" i="56"/>
  <c r="E76" i="56"/>
  <c r="D75" i="47" s="1"/>
  <c r="E16" i="56"/>
  <c r="I14" i="46"/>
  <c r="I59" i="46"/>
  <c r="F59" i="46"/>
  <c r="F14" i="46"/>
  <c r="I14" i="56"/>
  <c r="I59" i="56"/>
  <c r="H74" i="47" s="1"/>
  <c r="I67" i="46"/>
  <c r="F67" i="46"/>
  <c r="I68" i="56"/>
  <c r="H81" i="47" s="1"/>
  <c r="I15" i="56"/>
  <c r="F59" i="56"/>
  <c r="E74" i="47" s="1"/>
  <c r="F14" i="56"/>
  <c r="F15" i="56"/>
  <c r="F68" i="56"/>
  <c r="E81" i="47" s="1"/>
  <c r="N76" i="46"/>
  <c r="N16" i="46"/>
  <c r="F16" i="46"/>
  <c r="F76" i="46"/>
  <c r="E82" i="47" s="1"/>
  <c r="E85" i="47" s="1"/>
  <c r="E67" i="46"/>
  <c r="E14" i="46"/>
  <c r="E59" i="46"/>
  <c r="E76" i="46"/>
  <c r="D82" i="47" s="1"/>
  <c r="D85" i="47" s="1"/>
  <c r="E16" i="46"/>
  <c r="M76" i="46"/>
  <c r="M16" i="46"/>
  <c r="H14" i="46"/>
  <c r="H59" i="46"/>
  <c r="H67" i="46"/>
  <c r="G15" i="46"/>
  <c r="G68" i="46"/>
  <c r="N13" i="46"/>
  <c r="I49" i="46"/>
  <c r="I50" i="46" s="1"/>
  <c r="H80" i="47" s="1"/>
  <c r="O13" i="46"/>
  <c r="Q13" i="46"/>
  <c r="I12" i="46"/>
  <c r="I41" i="46"/>
  <c r="H13" i="46"/>
  <c r="F13" i="46"/>
  <c r="G13" i="46"/>
  <c r="G56" i="42"/>
  <c r="G12" i="46"/>
  <c r="G41" i="46"/>
  <c r="F12" i="46"/>
  <c r="F41" i="46"/>
  <c r="G51" i="47"/>
  <c r="H51" i="47"/>
  <c r="F51" i="47"/>
  <c r="D51" i="47"/>
  <c r="E51" i="47"/>
  <c r="G50" i="47"/>
  <c r="E50" i="47"/>
  <c r="D50" i="47"/>
  <c r="H50" i="47"/>
  <c r="F50" i="47"/>
  <c r="C64" i="47"/>
  <c r="Q74" i="46"/>
  <c r="Q75" i="46" s="1"/>
  <c r="Q76" i="46" s="1"/>
  <c r="I76" i="46"/>
  <c r="H82" i="47" s="1"/>
  <c r="I16" i="46"/>
  <c r="H76" i="46"/>
  <c r="G82" i="47" s="1"/>
  <c r="G85" i="47" s="1"/>
  <c r="H16" i="46"/>
  <c r="P16" i="46"/>
  <c r="O19" i="46" l="1"/>
  <c r="F58" i="47"/>
  <c r="F64" i="47" s="1"/>
  <c r="F65" i="47" s="1"/>
  <c r="Q19" i="56"/>
  <c r="F56" i="42"/>
  <c r="H85" i="47"/>
  <c r="I15" i="46"/>
  <c r="I68" i="46"/>
  <c r="F68" i="46"/>
  <c r="F15" i="46"/>
  <c r="N19" i="46"/>
  <c r="E58" i="47" s="1"/>
  <c r="E64" i="47" s="1"/>
  <c r="M19" i="46"/>
  <c r="D58" i="47" s="1"/>
  <c r="D64" i="47" s="1"/>
  <c r="D66" i="47" s="1"/>
  <c r="E15" i="46"/>
  <c r="E68" i="46"/>
  <c r="H68" i="46"/>
  <c r="H15" i="46"/>
  <c r="P19" i="46"/>
  <c r="G58" i="47" s="1"/>
  <c r="G64" i="47" s="1"/>
  <c r="I13" i="46"/>
  <c r="Q16" i="46"/>
  <c r="Q19" i="46" s="1"/>
  <c r="D65" i="47" l="1"/>
  <c r="F66" i="47"/>
  <c r="F59" i="47"/>
  <c r="D59" i="47"/>
  <c r="E66" i="47"/>
  <c r="E65" i="47"/>
  <c r="F60" i="47"/>
  <c r="D60" i="47"/>
  <c r="E60" i="47"/>
  <c r="E59" i="47"/>
  <c r="H58" i="47"/>
  <c r="H59" i="47" s="1"/>
  <c r="G59" i="47"/>
  <c r="G65" i="47"/>
  <c r="G66" i="47"/>
  <c r="G60" i="47"/>
  <c r="D11" i="46"/>
  <c r="F32" i="46"/>
  <c r="E79" i="47" s="1"/>
  <c r="E84" i="47" s="1"/>
  <c r="I11" i="46"/>
  <c r="I32" i="46"/>
  <c r="H79" i="47" s="1"/>
  <c r="H84" i="47" s="1"/>
  <c r="H11" i="46"/>
  <c r="E11" i="46"/>
  <c r="E32" i="46"/>
  <c r="D79" i="47" s="1"/>
  <c r="D84" i="47" s="1"/>
  <c r="H32" i="46"/>
  <c r="G79" i="47" s="1"/>
  <c r="G84" i="47" s="1"/>
  <c r="G11" i="46"/>
  <c r="G32" i="46"/>
  <c r="F79" i="47" s="1"/>
  <c r="F84" i="47" s="1"/>
  <c r="F11" i="46"/>
  <c r="H60" i="47" l="1"/>
  <c r="H64" i="47"/>
  <c r="H65" i="47" s="1"/>
  <c r="H66" i="47" l="1"/>
</calcChain>
</file>

<file path=xl/sharedStrings.xml><?xml version="1.0" encoding="utf-8"?>
<sst xmlns="http://schemas.openxmlformats.org/spreadsheetml/2006/main" count="2128" uniqueCount="1077">
  <si>
    <t>Resource impact template:</t>
  </si>
  <si>
    <t>Asthma: diagnosis, monitoring and chronic asthma management</t>
  </si>
  <si>
    <t>Specialty area</t>
  </si>
  <si>
    <t>Disease area</t>
  </si>
  <si>
    <t>Pathway position</t>
  </si>
  <si>
    <t>Administration method</t>
  </si>
  <si>
    <t>Provider</t>
  </si>
  <si>
    <t>Commissioner</t>
  </si>
  <si>
    <t>Programme budget category</t>
  </si>
  <si>
    <t>Contents</t>
  </si>
  <si>
    <t>Inputs and 
eligible
population</t>
  </si>
  <si>
    <t>Interventions inputs</t>
  </si>
  <si>
    <t>Unit
costs</t>
  </si>
  <si>
    <t>Financial
impact
(cash)</t>
  </si>
  <si>
    <t>Capacity
impact
(local prices)</t>
  </si>
  <si>
    <t>Capacity
impact
(national prices)</t>
  </si>
  <si>
    <t>For users to input local data</t>
  </si>
  <si>
    <t>For users to see local impact of inputs</t>
  </si>
  <si>
    <t>To show detailed workings</t>
  </si>
  <si>
    <t>This worksheet contains data that should be reviewed to tailor the document for your use. Enter a choice, a local value or leave blank as indicated.
The eligible population based on inputs is displayed.</t>
  </si>
  <si>
    <r>
      <t>This</t>
    </r>
    <r>
      <rPr>
        <b/>
        <sz val="11"/>
        <color indexed="8"/>
        <rFont val="Calibri"/>
        <family val="2"/>
        <scheme val="minor"/>
      </rPr>
      <t xml:space="preserve"> </t>
    </r>
    <r>
      <rPr>
        <sz val="11"/>
        <color indexed="8"/>
        <rFont val="Calibri"/>
        <family val="2"/>
        <scheme val="minor"/>
      </rPr>
      <t>worksheet allows users to see how the unit costs used in this template have been calculated.</t>
    </r>
    <r>
      <rPr>
        <sz val="11"/>
        <color theme="1"/>
        <rFont val="Calibri"/>
        <family val="2"/>
        <scheme val="minor"/>
      </rPr>
      <t xml:space="preserve">
Blue cells can be amended to include local data if required.</t>
    </r>
  </si>
  <si>
    <r>
      <t>This</t>
    </r>
    <r>
      <rPr>
        <b/>
        <sz val="11"/>
        <color indexed="8"/>
        <rFont val="Calibri"/>
        <family val="2"/>
        <scheme val="minor"/>
      </rPr>
      <t xml:space="preserve"> </t>
    </r>
    <r>
      <rPr>
        <sz val="11"/>
        <color indexed="8"/>
        <rFont val="Calibri"/>
        <family val="2"/>
        <scheme val="minor"/>
      </rPr>
      <t>worksheet shows key data giving the overview of the resource impact in terms of cash, non-cash and capacity. 
Select whether local or national prices are used for capacity items</t>
    </r>
  </si>
  <si>
    <t>This worksheet shows the resource impact in financial terms.</t>
  </si>
  <si>
    <t>This worksheet shows the capacity impact using local prices</t>
  </si>
  <si>
    <t>This worksheet shows the capacity impact using national prices</t>
  </si>
  <si>
    <t>The resource impact template was developed using a structured approach. This involved:</t>
  </si>
  <si>
    <t>• background research into the guidance content, current practice, published information and available data</t>
  </si>
  <si>
    <t>• gathering expert opinion</t>
  </si>
  <si>
    <t>• developing a model to estimate the resource impact of implementation</t>
  </si>
  <si>
    <t>• testing the model, including the assumptions and outcomes</t>
  </si>
  <si>
    <t>• updating the template using feedback from a consultation with stakeholders</t>
  </si>
  <si>
    <t>Notes for analysts: how to complete this sheet</t>
  </si>
  <si>
    <t>Analyst please hide sheet once complete.</t>
  </si>
  <si>
    <t>The topic-specific sections where formulae may need to be changed are highlighted in yellow</t>
  </si>
  <si>
    <t>Dropdowns</t>
  </si>
  <si>
    <t>Current selections</t>
  </si>
  <si>
    <t>Costing template</t>
  </si>
  <si>
    <t>Inputs</t>
  </si>
  <si>
    <t>Unit costs</t>
  </si>
  <si>
    <t>Admin cost</t>
  </si>
  <si>
    <t>staff grade</t>
  </si>
  <si>
    <t>1) Ensure the formulae in D13 to E18are updated. The formula in D13 to be amended is below - amend the red '2' where necessary.  Typically use 2 and 3 or 5 and 6.</t>
  </si>
  <si>
    <t>Per 100,000 population</t>
  </si>
  <si>
    <t>PER100K</t>
  </si>
  <si>
    <t>Organisation type</t>
  </si>
  <si>
    <t>Dropdown code</t>
  </si>
  <si>
    <t>national prices</t>
  </si>
  <si>
    <r>
      <t xml:space="preserve">         =IF(OR(C13="", C13="-"), "",VLOOKUP((CONCATENATE($N13," - ",$B13)),$C$27:$GL$662,</t>
    </r>
    <r>
      <rPr>
        <b/>
        <u/>
        <sz val="11"/>
        <color rgb="FFFF0000"/>
        <rFont val="Arial"/>
        <family val="2"/>
      </rPr>
      <t>2</t>
    </r>
    <r>
      <rPr>
        <sz val="11"/>
        <color theme="1"/>
        <rFont val="Arial"/>
        <family val="2"/>
      </rPr>
      <t>,FALSE))</t>
    </r>
  </si>
  <si>
    <t>yes</t>
  </si>
  <si>
    <t>local prices</t>
  </si>
  <si>
    <t>National</t>
  </si>
  <si>
    <t>NATIONAL</t>
  </si>
  <si>
    <t>no</t>
  </si>
  <si>
    <t>2) Check that the formulae in the 'manual input' row refer to the correct 'topic-specific' column of data</t>
  </si>
  <si>
    <t>8a</t>
  </si>
  <si>
    <t>8b</t>
  </si>
  <si>
    <t>Population data</t>
  </si>
  <si>
    <t>8c</t>
  </si>
  <si>
    <t>Population specific to this guidance</t>
  </si>
  <si>
    <t>8d</t>
  </si>
  <si>
    <t>Organisation</t>
  </si>
  <si>
    <t>Total population</t>
  </si>
  <si>
    <t>Males aged 5 and over</t>
  </si>
  <si>
    <t>Females aged 5 and over</t>
  </si>
  <si>
    <t>Males aged 5-16</t>
  </si>
  <si>
    <t>Females aged 5-16</t>
  </si>
  <si>
    <t>Males aged 12 and over</t>
  </si>
  <si>
    <t>Females aged 12 and over</t>
  </si>
  <si>
    <t>Topic-specific population selected</t>
  </si>
  <si>
    <t>medical</t>
  </si>
  <si>
    <t>mixed</t>
  </si>
  <si>
    <t>TOTAL</t>
  </si>
  <si>
    <t>Organisation name</t>
  </si>
  <si>
    <t>Concatenated field (for search)</t>
  </si>
  <si>
    <t>5 years and over</t>
  </si>
  <si>
    <t>All</t>
  </si>
  <si>
    <t>5-16 years</t>
  </si>
  <si>
    <t>12 and over</t>
  </si>
  <si>
    <t>Males</t>
  </si>
  <si>
    <t>Females</t>
  </si>
  <si>
    <t>Persons</t>
  </si>
  <si>
    <t>90 and over</t>
  </si>
  <si>
    <t>Baseline population adjustment</t>
  </si>
  <si>
    <t>Year -2</t>
  </si>
  <si>
    <t>Year -1</t>
  </si>
  <si>
    <t>Mid 24, current yr</t>
  </si>
  <si>
    <t>2022</t>
  </si>
  <si>
    <t>2023</t>
  </si>
  <si>
    <t>2024</t>
  </si>
  <si>
    <t>-2023</t>
  </si>
  <si>
    <t>-2024</t>
  </si>
  <si>
    <t>-2025</t>
  </si>
  <si>
    <t>All age England and Wales figure in ONS midpoint 2022 file</t>
  </si>
  <si>
    <t>All age ONS projections</t>
  </si>
  <si>
    <t>Growth to get to mid 24 figure as per ONS projection</t>
  </si>
  <si>
    <t>Mid24 population adjusted using RIA growth figure</t>
  </si>
  <si>
    <t>Check, RIA growth figure vs ONS projection population</t>
  </si>
  <si>
    <t>Population over time</t>
  </si>
  <si>
    <t>Current year</t>
  </si>
  <si>
    <t>Year 1</t>
  </si>
  <si>
    <t>Year 2</t>
  </si>
  <si>
    <t>Year 3</t>
  </si>
  <si>
    <t>Year 4</t>
  </si>
  <si>
    <t>Year 5</t>
  </si>
  <si>
    <t>Averages</t>
  </si>
  <si>
    <t xml:space="preserve">Compounding </t>
  </si>
  <si>
    <t>Value to use in formula</t>
  </si>
  <si>
    <t>5 year view</t>
  </si>
  <si>
    <t>Specific age groups</t>
  </si>
  <si>
    <t>Population growth rate estimates</t>
  </si>
  <si>
    <t>Local population</t>
  </si>
  <si>
    <t>All population</t>
  </si>
  <si>
    <t>Children 0-11 years</t>
  </si>
  <si>
    <t>Children 12-17 years</t>
  </si>
  <si>
    <t>Children 0-17 years</t>
  </si>
  <si>
    <t>Children &amp; young people 0-25 years</t>
  </si>
  <si>
    <t>Adults 18 years and over</t>
  </si>
  <si>
    <t>Females 40 years and over</t>
  </si>
  <si>
    <t>Females 50 years and over</t>
  </si>
  <si>
    <t xml:space="preserve">Males 40 years and over </t>
  </si>
  <si>
    <t xml:space="preserve">Males 50 years and over </t>
  </si>
  <si>
    <t>Adults 40 years and over</t>
  </si>
  <si>
    <t>Adults 50 years and over</t>
  </si>
  <si>
    <t>Adults 60 years and over</t>
  </si>
  <si>
    <t>All women</t>
  </si>
  <si>
    <t xml:space="preserve">Do not use </t>
  </si>
  <si>
    <t xml:space="preserve">RIA to use this </t>
  </si>
  <si>
    <t>column of data</t>
  </si>
  <si>
    <t xml:space="preserve">in Inputs and </t>
  </si>
  <si>
    <t>Green highlighted row shows adults 18 years and over</t>
  </si>
  <si>
    <t>eligible population</t>
  </si>
  <si>
    <t>sheet cell F18</t>
  </si>
  <si>
    <t>This is the compound</t>
  </si>
  <si>
    <t>growth rate</t>
  </si>
  <si>
    <t>10 year rates</t>
  </si>
  <si>
    <t>Value to use</t>
  </si>
  <si>
    <t>10 year view</t>
  </si>
  <si>
    <t>this column above</t>
  </si>
  <si>
    <t>MART</t>
  </si>
  <si>
    <t>ICS</t>
  </si>
  <si>
    <t>SABA</t>
  </si>
  <si>
    <t>LABA</t>
  </si>
  <si>
    <t>LTRA</t>
  </si>
  <si>
    <t>LAMA</t>
  </si>
  <si>
    <t>Drug or inhaler device</t>
  </si>
  <si>
    <t>Inhaler device</t>
  </si>
  <si>
    <t>Drug</t>
  </si>
  <si>
    <t>Combination inhaler / drug</t>
  </si>
  <si>
    <t>YES</t>
  </si>
  <si>
    <t>No</t>
  </si>
  <si>
    <t>Maintenance/prevention  inhaler / drug</t>
  </si>
  <si>
    <t>N/a</t>
  </si>
  <si>
    <t>Rescue inhaler / drug (for asthma attack)</t>
  </si>
  <si>
    <t>Steriod/broncodilater device restriction</t>
  </si>
  <si>
    <t>YES, formeterol</t>
  </si>
  <si>
    <t>Oral treatment (maintenance)</t>
  </si>
  <si>
    <t>Drugs for use in an inhaler</t>
  </si>
  <si>
    <t>Exacerbation prevention</t>
  </si>
  <si>
    <t>Symptom control</t>
  </si>
  <si>
    <t>Persistent poorly controlled asthma</t>
  </si>
  <si>
    <t>Age group</t>
  </si>
  <si>
    <t>Under 12</t>
  </si>
  <si>
    <t>Prescribing data calendar year 2023</t>
  </si>
  <si>
    <t>Maintenance and releiver therapy (MART)</t>
  </si>
  <si>
    <t>Inhaled corticosteroids (ICS)</t>
  </si>
  <si>
    <t>Short-acting beta-agonists (SABA)</t>
  </si>
  <si>
    <t>Long-acting beta-agonists (SABA)</t>
  </si>
  <si>
    <t>Long acting muscarinic antagonists (LAMA)</t>
  </si>
  <si>
    <t>Leukotriene receptor agonists (LTRA) - oral tablet, maintenance treatment</t>
  </si>
  <si>
    <t>% use</t>
  </si>
  <si>
    <t>MART inhaler use</t>
  </si>
  <si>
    <t>Device (most used, removal of vial treaments/ nasal sprays)</t>
  </si>
  <si>
    <t>number</t>
  </si>
  <si>
    <t>Licensed for MART</t>
  </si>
  <si>
    <t>Aclidinium bromide/formoterol</t>
  </si>
  <si>
    <t>Aclidinium brom 396mcg/dose / Formoterol 11.8mcg/dose DP inh</t>
  </si>
  <si>
    <t>Beclometasone dipropionate</t>
  </si>
  <si>
    <t>AirFluSal 25micrograms/dose / 125micrograms/dose inhaler</t>
  </si>
  <si>
    <t>Beclometdiprop/formoterol/glycopyrronium</t>
  </si>
  <si>
    <t>AirFluSal 25micrograms/dose / 250micrograms/dose inhaler</t>
  </si>
  <si>
    <t>Budesonide</t>
  </si>
  <si>
    <t>AirFluSal Forspiro 50microg / 500microg/dose dry pdr inh</t>
  </si>
  <si>
    <t>Ciclesonide</t>
  </si>
  <si>
    <t>Airomir 100micrograms/dose Autohaler</t>
  </si>
  <si>
    <t>Fluticasone furoate</t>
  </si>
  <si>
    <t>Airomir 100micrograms/dose inhaler</t>
  </si>
  <si>
    <t>Fluticasone furoate/vilanterol</t>
  </si>
  <si>
    <t>Aloflute 25micrograms/dose / 125micrograms/dose inhaler</t>
  </si>
  <si>
    <t>Fluticasone propionate (Inhalation)</t>
  </si>
  <si>
    <t>Aloflute 25micrograms/dose / 250micrograms/dose inhaler</t>
  </si>
  <si>
    <t>Fluticasone propionate (Nasal)</t>
  </si>
  <si>
    <t>Alvesco 160 inhaler</t>
  </si>
  <si>
    <t>Fluticasone propionate/azelastine hydrochloride (Nasal)</t>
  </si>
  <si>
    <t>Alvesco 80 inhaler</t>
  </si>
  <si>
    <t>Fluticasone/umeclidinium/vilanterol</t>
  </si>
  <si>
    <t>Asmanex 200micrograms/dose Twisthaler</t>
  </si>
  <si>
    <t>Formoterol fumarate</t>
  </si>
  <si>
    <t>Asmanex 400micrograms/dose Twisthaler</t>
  </si>
  <si>
    <t>Formoterol/glycopyrronium/budesonide</t>
  </si>
  <si>
    <t>Atectura Breezhaler 125microg/260microg inhalation pdr caps</t>
  </si>
  <si>
    <t>Glycopyrronium/formoterol</t>
  </si>
  <si>
    <t>Atimos Modulite 12micrograms/dose inhaler</t>
  </si>
  <si>
    <t>Indacaterol/mometasone</t>
  </si>
  <si>
    <t>Mometasone furoate</t>
  </si>
  <si>
    <t>Avenor 25micrograms/dose / 125micrograms/dose inhaler</t>
  </si>
  <si>
    <t>Mometasone furoate/olopatadine hydrochloride</t>
  </si>
  <si>
    <t>Avenor 25micrograms/dose / 250micrograms/dose inhaler</t>
  </si>
  <si>
    <t>Mometasone/glycopyrronium/indacaterol</t>
  </si>
  <si>
    <t>Avenor 25micrograms/dose / 50micrograms/dose inhaler</t>
  </si>
  <si>
    <t>Nedocromil sodium</t>
  </si>
  <si>
    <t>Beclazone 100 inhaler</t>
  </si>
  <si>
    <t>Salbutamol</t>
  </si>
  <si>
    <t>Salmeterol</t>
  </si>
  <si>
    <t>Beclometasone 100mcg/dose breath actuated inhaler CFC free</t>
  </si>
  <si>
    <t>Sodium cromoglicate</t>
  </si>
  <si>
    <t>Beclometasone 100microg/Formoterol 6microg/dose dry pdr inh</t>
  </si>
  <si>
    <t>Terbutaline sulphate</t>
  </si>
  <si>
    <t>Beclometasone 100microg/Formoterol 6microg/dose inh CFCfree</t>
  </si>
  <si>
    <t>Beclometasone 100micrograms/dose inhaler CFC free</t>
  </si>
  <si>
    <t>Beclometasone 200microg/Formoterol 6microg/dose dry pdr inh</t>
  </si>
  <si>
    <t>Beclometasone 200microg/Formoterol 6microg/dose inh CFC free</t>
  </si>
  <si>
    <t>Beclometasone 200micrograms/dose dry powder inhaler</t>
  </si>
  <si>
    <t>Beclometasone 200micrograms/dose inhaler CFC free</t>
  </si>
  <si>
    <t>Beclometasone 250micrograms/dose inhaler CFC free</t>
  </si>
  <si>
    <t>Beclometasone 50micrograms/dose breath actuated inh CFC free</t>
  </si>
  <si>
    <t>Beclometasone 50micrograms/dose inhaler CFC free</t>
  </si>
  <si>
    <t>Beclu 100micrograms/dose inhaler</t>
  </si>
  <si>
    <t>Beclu 200micrograms/dose inhaler</t>
  </si>
  <si>
    <t>Beconase Hayfever 50micrograms/dose nasal spray</t>
  </si>
  <si>
    <t>Beconase Hayfever Relief for Adults 50microg/dose nsl spy</t>
  </si>
  <si>
    <t>Bevespi Aerosphere 7.2microg / 5microg/dose pressurised inh</t>
  </si>
  <si>
    <t>Bibecfo 100micrograms/dose / 6micrograms/dose inhaler</t>
  </si>
  <si>
    <t>Bricanyl 500micrograms/dose Turbohaler</t>
  </si>
  <si>
    <t>Budelin Novolizer 200micrograms/dose inhalation pdr refill</t>
  </si>
  <si>
    <t>Budelin Novolizer 200micrograms/dose inhalation powder</t>
  </si>
  <si>
    <t>Budesonide 100microg / Formoterol 3microg/dose inh CFC free</t>
  </si>
  <si>
    <t>Budesonide 100microg / Formoterol 6microg/dose dry pdr inh</t>
  </si>
  <si>
    <t>Budesonide 100micrograms/dose dry powder inhaler</t>
  </si>
  <si>
    <t>Budesonide 100micrograms/dose nasal spray</t>
  </si>
  <si>
    <t>Budesonide 1mg/2ml nebuliser liquid unit dose vials</t>
  </si>
  <si>
    <t>Budesonide 200mcg/dose / Formoterol 6mcg/dose dry powder inh</t>
  </si>
  <si>
    <t>Budesonide 200microg / Formoterol 6microg/dose inh CFC free</t>
  </si>
  <si>
    <t>Budesonide 200microg/dose dry pdr inhalation cart with dev</t>
  </si>
  <si>
    <t>Budesonide 200micrograms/dose dry pdr inhalation cartridge</t>
  </si>
  <si>
    <t>Budesonide 200micrograms/dose dry powder inhaler</t>
  </si>
  <si>
    <t>Budesonide 200micrograms/dose inhaler</t>
  </si>
  <si>
    <t>Budesonide 400mcg/dose /Formoterol 12mcg/dose dry powder inh</t>
  </si>
  <si>
    <t>Budesonide 400micrograms/dose dry powder inhaler</t>
  </si>
  <si>
    <t>Campona Airmaster 50microg/dose / 100microg/dose dry pdr inh</t>
  </si>
  <si>
    <t>Campona Airmaster 50microg/dose / 250microg/dose dry pdr inh</t>
  </si>
  <si>
    <t>Campona Airmaster 50microg/dose / 500microg/dose dry pdr inh</t>
  </si>
  <si>
    <t>Catacrom 2% eye drops 0.3ml unit dose</t>
  </si>
  <si>
    <t>Ciclesonide 160micrograms/dose inhaler CFC free</t>
  </si>
  <si>
    <t>Ciclesonide 80micrograms/dose inhaler CFC free</t>
  </si>
  <si>
    <t>Clenil Modulite 100micrograms/dose inhaler</t>
  </si>
  <si>
    <t>Clenil Modulite 200micrograms/dose inhaler</t>
  </si>
  <si>
    <t>Clenil Modulite 250micrograms/dose inhaler</t>
  </si>
  <si>
    <t>Clenil Modulite 50micrograms/dose inhaler</t>
  </si>
  <si>
    <t>Combiprasal 0.5mg/2.5mg neb soln 2.5ml unit dose vials</t>
  </si>
  <si>
    <t>Combisal 25micrograms/dose / 125micrograms/dose inhaler</t>
  </si>
  <si>
    <t>Combisal 25micrograms/dose / 250micrograms/dose inhaler</t>
  </si>
  <si>
    <t>Combisal 25micrograms/dose / 50micrograms/dose inhaler</t>
  </si>
  <si>
    <t>Combivent nebuliser liquid 2.5ml UDVs</t>
  </si>
  <si>
    <t>Duaklir 340micrograms/dose / 12micrograms/dose Genuair</t>
  </si>
  <si>
    <t>DuoResp Spiromax 160microg/dose / 4.5microg/dose dry pdr inh</t>
  </si>
  <si>
    <t>DuoResp Spiromax 320microg/dose / 9microg/dose dry pdr inh</t>
  </si>
  <si>
    <t>Easyhaler Beclometasone 200micrograms/dose dry pdr inhaler</t>
  </si>
  <si>
    <t>Easyhaler Budesonide 100micrograms/dose dry powder inhaler</t>
  </si>
  <si>
    <t>Easyhaler Budesonide 200micrograms/dose dry powder inhaler</t>
  </si>
  <si>
    <t>Easyhaler Budesonide 400micrograms/dose dry powder inhaler</t>
  </si>
  <si>
    <t>Easyhaler Salbutamol sulfate 100micrograms/dose dry pdr inh</t>
  </si>
  <si>
    <t>Easyhaler Salbutamol sulfate 200micrograms/dose dry pdr inh</t>
  </si>
  <si>
    <t>Enerzair Breezhaler 114microg / 46microg / 136microg/dose</t>
  </si>
  <si>
    <t>Fixkoh Airmaster 50microg/dose / 100microg/dose dry pdr inh</t>
  </si>
  <si>
    <t>Fixkoh Airmaster 50microg/dose / 250microg/dose dry pdr inh</t>
  </si>
  <si>
    <t>Fixkoh Airmaster 50microg/dose / 500microg/dose dry pdr inh</t>
  </si>
  <si>
    <t>Flixotide 100micrograms/dose Accuhaler</t>
  </si>
  <si>
    <t>Flixotide 125micrograms/dose Evohaler</t>
  </si>
  <si>
    <t>Flixotide 250micrograms/dose Accuhaler</t>
  </si>
  <si>
    <t>Flixotide 250micrograms/dose Evohaler</t>
  </si>
  <si>
    <t>Flixotide 500micrograms/dose Accuhaler</t>
  </si>
  <si>
    <t>Flixotide 50micrograms/dose Accuhaler</t>
  </si>
  <si>
    <t>Flixotide 50micrograms/dose Evohaler</t>
  </si>
  <si>
    <t>Fluticasone 125mcg/dose / Salmeterol 25mcg/dose inh CFC free</t>
  </si>
  <si>
    <t>Fluticasone 125microg / Formoterol 5microg/dose inh CFC free</t>
  </si>
  <si>
    <t>Fluticasone 125micrograms/dose inhaler CFC free</t>
  </si>
  <si>
    <t>Fluticasone 250mcg/dose / Salmeterol 25mcg/dose inh CFC free</t>
  </si>
  <si>
    <t>Fluticasone 250microg / Formoterol 10microg/dose inh CFCfree</t>
  </si>
  <si>
    <t>Fluticasone 250micrograms/dose inhaler CFC free</t>
  </si>
  <si>
    <t>Fluticasone 500micrograms/2ml neb liq unit dose vials</t>
  </si>
  <si>
    <t>Fluticasone 50microg / Formoterol 5microg/dose inh CFC free</t>
  </si>
  <si>
    <t>Fluticasone 50microg / Salmeterol 25microg/dose inh CFC free</t>
  </si>
  <si>
    <t>Fluticasone 50micrograms/dose inhaler CFC free</t>
  </si>
  <si>
    <t>Fluticasone furoate 184microg/Vilanterol 22microg/dose</t>
  </si>
  <si>
    <t>Fluticasone furoate 92microg/Vilanterol 22microg/dose</t>
  </si>
  <si>
    <t>Fluticasone propionate 100microg/Salmeterol 50microg/dose</t>
  </si>
  <si>
    <t>Fluticasone propionate 100micrograms/dose dry powder inhaler</t>
  </si>
  <si>
    <t>Fluticasone propionate 250microg/Salmeterol 50microg/dose</t>
  </si>
  <si>
    <t>Fluticasone propionate 250micrograms/dose dry powder inhaler</t>
  </si>
  <si>
    <t>Fluticasone propionate 500microg/Salmeterol 50microg/dose</t>
  </si>
  <si>
    <t>Fluticasone propionate 500micrograms/dose dry powder inhaler</t>
  </si>
  <si>
    <t>Fluticasone propionate 50microg/Azelastine 137microg/dose</t>
  </si>
  <si>
    <t>Fluticasone propionate 50micrograms/dose dry powder inhaler</t>
  </si>
  <si>
    <t>Flutiform 125micrograms/dose / 5micrograms/dose inhaler</t>
  </si>
  <si>
    <t>Flutiform 250micrograms/dose / 10micrograms/dose inhaler</t>
  </si>
  <si>
    <t>Flutiform 50micrograms/dose / 5micrograms/dose inhaler</t>
  </si>
  <si>
    <t>Fobumix Easyhaler 160microg / 4.5microg/dose dry pdr inh</t>
  </si>
  <si>
    <t>Fobumix Easyhaler 320microg/dose / 9microg/dose dry pdr inh</t>
  </si>
  <si>
    <t>Fobumix Easyhaler 80microg/dose / 4.5microg/dose dry pdr inh</t>
  </si>
  <si>
    <t>Foradil 12microgram inhalation powder capsules with device</t>
  </si>
  <si>
    <t>Formoterol 12microgram inhalation pdr caps with device</t>
  </si>
  <si>
    <t>Formoterol 12micrograms/dose dry powder inhaler</t>
  </si>
  <si>
    <t>Formoterol 12micrograms/dose inhaler CFC free</t>
  </si>
  <si>
    <t>Formoterol 6micrograms/dose dry powder inhaler</t>
  </si>
  <si>
    <t>Formoterol Easyhaler 12micrograms/dose dry powder inhaler</t>
  </si>
  <si>
    <t>Fostair 100micrograms/dose / 6micrograms/dose inhaler</t>
  </si>
  <si>
    <t>Fostair 200micrograms/dose / 6micrograms/dose inhaler</t>
  </si>
  <si>
    <t>Fostair NEXThaler 100microg/dose / 6microg/dose dry pdr inh</t>
  </si>
  <si>
    <t>Fostair NEXThaler 200microg/dose / 6microg/dose dry pdr inh</t>
  </si>
  <si>
    <t>Fusacomb Easyhaler 50microg / 250microg/dose dry pdr inh</t>
  </si>
  <si>
    <t>Fusacomb Easyhaler 50microg / 500microg/dose dry pdr inh</t>
  </si>
  <si>
    <t>Glycopyrronium 7.2microg/Formoterol 5microg/dose inh CFCfree</t>
  </si>
  <si>
    <t>Kelhale 100micrograms/dose inhaler</t>
  </si>
  <si>
    <t>Kelhale 50micrograms/dose inhaler</t>
  </si>
  <si>
    <t>Luforbec 100micrograms/dose / 6micrograms/dose inhaler</t>
  </si>
  <si>
    <t>Luforbec 200micrograms/dose / 6micrograms/dose inhaler</t>
  </si>
  <si>
    <t>Mometasone 200micrograms/dose dry powder inhaler</t>
  </si>
  <si>
    <t>Mometasone 25microg / Olopatadine 600microg/dose nsl spy</t>
  </si>
  <si>
    <t>Nasobec Aqueous 50micrograms/dose nasal spray</t>
  </si>
  <si>
    <t>Nasobec Hayfever 50micrograms/dose nasal spray</t>
  </si>
  <si>
    <t>Nasofan 50micrograms/dose aqueous nasal spray</t>
  </si>
  <si>
    <t>Nasofan Allergy 50micrograms/dose nasal spray</t>
  </si>
  <si>
    <t>Nasonex 50micrograms/dose nasal spray</t>
  </si>
  <si>
    <t>Neovent 25micrograms/dose inhaler CFC free (Kent Pharm)</t>
  </si>
  <si>
    <t>Opticrom Allergy Single Dose 2% eye drops 0.3ml unit dose</t>
  </si>
  <si>
    <t>Oxis 12 Turbohaler</t>
  </si>
  <si>
    <t>Oxis 6 Turbohaler</t>
  </si>
  <si>
    <t>Pulmicort 100 Turbohaler</t>
  </si>
  <si>
    <t>Pulmicort 200 Turbohaler</t>
  </si>
  <si>
    <t>Pulmicort 400 Turbohaler</t>
  </si>
  <si>
    <t>Qvar 100 Autohaler</t>
  </si>
  <si>
    <t>Qvar 100 inhaler</t>
  </si>
  <si>
    <t>Qvar 100micrograms/dose Easi-Breathe inhaler</t>
  </si>
  <si>
    <t>Qvar 50 Autohaler</t>
  </si>
  <si>
    <t>Qvar 50 inhaler</t>
  </si>
  <si>
    <t>Qvar 50micrograms/dose Easi-Breathe inhaler</t>
  </si>
  <si>
    <t>Relvar Ellipta 184microg/dose / 22microg/dose dry pdr inh</t>
  </si>
  <si>
    <t>Relvar Ellipta 92microg/dose / 22microg/dose dry pdr inh</t>
  </si>
  <si>
    <t>Ryaltris 25micrograms/dose / 600micrograms/dose nasal spray</t>
  </si>
  <si>
    <t>Salamol 100micrograms/dose Easi-Breathe inhaler</t>
  </si>
  <si>
    <t>Salamol 100micrograms/dose inhaler CFC free (Teva)</t>
  </si>
  <si>
    <t>Salbulin Novolizer 100micrograms/dose inhalation powder</t>
  </si>
  <si>
    <t>Salbutamol 100microg/dose dry pdr inhalation cart with dev</t>
  </si>
  <si>
    <t>Salbutamol 100micrograms/dose breath actuated inh CFC free</t>
  </si>
  <si>
    <t>Salbutamol 100micrograms/dose breath actuated inhaler</t>
  </si>
  <si>
    <t>Salbutamol 100micrograms/dose dry pdr inhalation cartridge</t>
  </si>
  <si>
    <t>Salbutamol 100micrograms/dose dry powder inhaler</t>
  </si>
  <si>
    <t>Salbutamol 100micrograms/dose inhaler</t>
  </si>
  <si>
    <t>Salbutamol 100micrograms/dose inhaler CFC free</t>
  </si>
  <si>
    <t>Salbutamol 2.5mg/2.5ml neb liq unit dose Steripoule vials</t>
  </si>
  <si>
    <t>Salbutamol 2.5mg/2.5ml nebuliser liquid unit dose vials</t>
  </si>
  <si>
    <t>Salbutamol 200micrograms/dose dry powder inhaler</t>
  </si>
  <si>
    <t>Salbutamol 5mg/2.5ml neb liq unit dose Steripoule vials</t>
  </si>
  <si>
    <t>Salbutamol 5mg/2.5ml nebuliser liquid unit dose vials</t>
  </si>
  <si>
    <t>Salbutamol 5mg/ml nebuliser liquid</t>
  </si>
  <si>
    <t>Salmeterol 25micrograms/dose inhaler CFC free</t>
  </si>
  <si>
    <t>Salmeterol 50micrograms/dose dry powder inhaler</t>
  </si>
  <si>
    <t>Sereflo 25micrograms/dose / 125micrograms/dose inhaler</t>
  </si>
  <si>
    <t>Sereflo 25micrograms/dose / 250micrograms/dose inhaler</t>
  </si>
  <si>
    <t>Sereflo Ciphaler 50microg / 250microg/dose dry pdr inh</t>
  </si>
  <si>
    <t>Sereflo Ciphaler 50microg / 500microg/dose dry pdr inh</t>
  </si>
  <si>
    <t>Seretide 100 Accuhaler</t>
  </si>
  <si>
    <t>Seretide 125 Evohaler</t>
  </si>
  <si>
    <t>Seretide 250 Accuhaler</t>
  </si>
  <si>
    <t>Seretide 250 Evohaler</t>
  </si>
  <si>
    <t>Seretide 50 Evohaler</t>
  </si>
  <si>
    <t>Seretide 500 Accuhaler</t>
  </si>
  <si>
    <t>Serevent 25micrograms/dose Evohaler</t>
  </si>
  <si>
    <t>Serevent 25micrograms/dose inhaler</t>
  </si>
  <si>
    <t>Serevent 50micrograms/dose Accuhaler</t>
  </si>
  <si>
    <t>Sirdupla 25micrograms/dose / 125micrograms/dose inhaler</t>
  </si>
  <si>
    <t>Sirdupla 25micrograms/dose / 250micrograms/dose inhaler</t>
  </si>
  <si>
    <t>Sodium cromoglicate 5mg/dose inhaler CFC free</t>
  </si>
  <si>
    <t>Soltel 25micrograms/dose inhaler CFC free</t>
  </si>
  <si>
    <t>Soprobec 100micrograms/dose inhaler</t>
  </si>
  <si>
    <t>Soprobec 200micrograms/dose inhaler</t>
  </si>
  <si>
    <t>Soprobec 250micrograms/dose inhaler</t>
  </si>
  <si>
    <t>Soprobec 50micrograms/dose inhaler</t>
  </si>
  <si>
    <t>Stalpex 50microg/dose / 500microg/dose dry powder inh</t>
  </si>
  <si>
    <t>Device</t>
  </si>
  <si>
    <t>Symbicort 100/6 Turbohaler</t>
  </si>
  <si>
    <t>Symbicort 100microg/dose / 3microg/dose pressurised inh</t>
  </si>
  <si>
    <t>Symbicort 200/6 Turbohaler</t>
  </si>
  <si>
    <t>Symbicort 200microg/dose / 6microg/dose pressurised inh</t>
  </si>
  <si>
    <t>Ventolin 100micrograms/dose Evohaler</t>
  </si>
  <si>
    <t>Symbicort 400/12 Turbohaler</t>
  </si>
  <si>
    <t>Terbutaline 500micrograms/dose dry powder inhaler</t>
  </si>
  <si>
    <t>Terbutaline 5mg/2ml nebuliser liquid unit dose vials</t>
  </si>
  <si>
    <t>Trelegy Ellipta 92microg/55microg/22microg/dose dry pdr inh</t>
  </si>
  <si>
    <t>Trimbow 172microg/dose / 5microg/dose / 9microg/dose inh</t>
  </si>
  <si>
    <t>Trimbow 87microg/dose / 5microg/dose / 9microg/dose inh</t>
  </si>
  <si>
    <t>Trimbow NEXThaler 88microg/5microg/9microg/dose dry pdr inh</t>
  </si>
  <si>
    <t>Trixeo Aerosphere 5microg / 7.2microg / 160microg/dose inh</t>
  </si>
  <si>
    <t>Ventolin 2.5mg Nebules</t>
  </si>
  <si>
    <t>Ventolin 200micrograms/dose Accuhaler</t>
  </si>
  <si>
    <t>Ventolin 5mg Nebules</t>
  </si>
  <si>
    <t>WockAIR 160micrograms/dose / 4.5micrograms/dose dry pdr inh</t>
  </si>
  <si>
    <t>WockAIR 320micrograms/dose / 9micrograms/dose dry pdr inh</t>
  </si>
  <si>
    <t>MART inhaler % / number (unknown if more than one issued per person)</t>
  </si>
  <si>
    <t>poorly controlled asthma</t>
  </si>
  <si>
    <t>expert opinion</t>
  </si>
  <si>
    <t>GPs</t>
  </si>
  <si>
    <t>Inputs and eligible population</t>
  </si>
  <si>
    <t>User notes</t>
  </si>
  <si>
    <t>Data entered in blue cells will be used throughout other worksheets to tailor information to your inputs.</t>
  </si>
  <si>
    <t>The 'Unit costs' worksheet should also be reviewed to ensure costs used represent your local cost profiles.</t>
  </si>
  <si>
    <t>Please note, the age group analysis below aligns with the recommendations in  the guideline.</t>
  </si>
  <si>
    <t>Population</t>
  </si>
  <si>
    <t xml:space="preserve">Organisation type </t>
  </si>
  <si>
    <t>Population specific growth rate</t>
  </si>
  <si>
    <t>Population above inflated to estimated 2024 value, current year</t>
  </si>
  <si>
    <t>People aged 5-16</t>
  </si>
  <si>
    <t>People aged 12 and over</t>
  </si>
  <si>
    <t>Population % growth per year</t>
  </si>
  <si>
    <t>Disease rate % change per year</t>
  </si>
  <si>
    <t>Eligible population calculation</t>
  </si>
  <si>
    <t>Current practice -
year 0</t>
  </si>
  <si>
    <t>Future practice - year 5 (with population growth/disease change)</t>
  </si>
  <si>
    <t>References and data sources</t>
  </si>
  <si>
    <t>Population aged 5 and over</t>
  </si>
  <si>
    <t>See notes below</t>
  </si>
  <si>
    <r>
      <rPr>
        <b/>
        <sz val="11"/>
        <rFont val="Calibri"/>
        <family val="2"/>
        <scheme val="minor"/>
      </rPr>
      <t>Population aged 5 and over</t>
    </r>
    <r>
      <rPr>
        <sz val="11"/>
        <rFont val="Calibri"/>
        <family val="2"/>
        <scheme val="minor"/>
      </rPr>
      <t xml:space="preserve"> forecast at year 5</t>
    </r>
  </si>
  <si>
    <t>Population aged 12 and over</t>
  </si>
  <si>
    <t>Prevalence of asthma in people aged 12 and over</t>
  </si>
  <si>
    <t>Future practice -
year 1</t>
  </si>
  <si>
    <t>Future practice -
year 2</t>
  </si>
  <si>
    <t>Future practice -
year 3</t>
  </si>
  <si>
    <t>Future practice -
year 4</t>
  </si>
  <si>
    <t>Future practice -
year 5</t>
  </si>
  <si>
    <t>Population growth (100% represents no growth)</t>
  </si>
  <si>
    <t>rate is compounded</t>
  </si>
  <si>
    <t>Disease change in incidence/prevalence (100% represents no growth)</t>
  </si>
  <si>
    <t>Total</t>
  </si>
  <si>
    <t>Monitoring</t>
  </si>
  <si>
    <t>Proportion of people whose asthma is not well controlled</t>
  </si>
  <si>
    <t>Capacity requirements</t>
  </si>
  <si>
    <t>This section considers different types of capacity impact, grouped by colour.  Enter data in blue cells for each data type.</t>
  </si>
  <si>
    <t>Each type of capacity is assessed in terms of activity (and some by cost) on the Capacity worksheets.</t>
  </si>
  <si>
    <t>Capacity area</t>
  </si>
  <si>
    <t>Unit definition</t>
  </si>
  <si>
    <t>Frequency</t>
  </si>
  <si>
    <t>Objective testing</t>
  </si>
  <si>
    <t>Staff grade</t>
  </si>
  <si>
    <t>Hourly cost</t>
  </si>
  <si>
    <t>Per person per yr</t>
  </si>
  <si>
    <t>per patient per visit</t>
  </si>
  <si>
    <t>Consultant mid</t>
  </si>
  <si>
    <t>Band 8a Bottom</t>
  </si>
  <si>
    <t>Notes</t>
  </si>
  <si>
    <t>Testing time per health economics report for the guidance - see unit costs sheet (other workings).</t>
  </si>
  <si>
    <t>Duration of appointment for tests may vary between settings. Flexibility is given in above table for any differences between secondary and primary care.</t>
  </si>
  <si>
    <t>The population data are based on:</t>
  </si>
  <si>
    <t>Population growth is based on:</t>
  </si>
  <si>
    <t>Interventions inputs and assumptions</t>
  </si>
  <si>
    <t>DIAGNOSIS &amp; MONITORING</t>
  </si>
  <si>
    <t>Current, year 0</t>
  </si>
  <si>
    <t>year 1</t>
  </si>
  <si>
    <t>year 2</t>
  </si>
  <si>
    <t>year 3</t>
  </si>
  <si>
    <t>year 4</t>
  </si>
  <si>
    <t>year 5</t>
  </si>
  <si>
    <t>Note</t>
  </si>
  <si>
    <t>Primary care</t>
  </si>
  <si>
    <t>Secondary care</t>
  </si>
  <si>
    <t>Entries below in future years are for illustrative purposes. Please amend.</t>
  </si>
  <si>
    <t>Diagnosis (incident population)</t>
  </si>
  <si>
    <t>Monitoring (prevalent population)</t>
  </si>
  <si>
    <t>Current practice</t>
  </si>
  <si>
    <t>Notes:</t>
  </si>
  <si>
    <t>61.8% of hospitals have access to both FeNO and spirometry as diagnostic tools for children and young people with asthma. Assumed 50/50 split use of each test and applied as a proxy to all population groups. Please amend locally.</t>
  </si>
  <si>
    <t>Drawing breath (NACAP) – HQIP</t>
  </si>
  <si>
    <t xml:space="preserve">BDR tests can be used alongside spirometry for confirming diagnosis, therefore uptake for each type of test does not need to total 100%. Uptake shown above is for illustrative purposes. </t>
  </si>
  <si>
    <t>Recommendation 1.2.7- Respiratory expert opinion: This is a change to practice. In many cases previously, primary care clinicians may simply have tried treatment, however this recommendation may result in increased secondary care referrals. Possibly 10-20% increase</t>
  </si>
  <si>
    <t>Modelled over time using incident population (newly diagnosed) where need for second opinion on initial diagnosis.</t>
  </si>
  <si>
    <t>Spirometry</t>
  </si>
  <si>
    <t>MART inhalers - rec. 1.7.3</t>
  </si>
  <si>
    <t>*investing-breath-measuring-economic-cost-asthma-copd-uk-identifying-ways-reduce-it-through-better (asthmaandlung.org.uk)</t>
  </si>
  <si>
    <t>POTENTIAL RESOURCES RELEASED</t>
  </si>
  <si>
    <t>Emergency hospital admissions for asthma - adults</t>
  </si>
  <si>
    <t>Emergency hospital admissions for asthma - paediatric</t>
  </si>
  <si>
    <t>Do not use regular peak expiratory flow (PEF) monitoring to assess asthma control unless there are person-specific reasons for doing so. [2024]</t>
  </si>
  <si>
    <t>Percentage reduction in primary care use</t>
  </si>
  <si>
    <t>Economic impact of a more extensive use of FENO testing on the Italian population with asthma - PMC (nih.gov)</t>
  </si>
  <si>
    <t>Potential resources released is based on increased uptake of  FeNO each year in primary care (row 53) and people who's asthma is not well controlled.</t>
  </si>
  <si>
    <t>-</t>
  </si>
  <si>
    <t>Consumables £</t>
  </si>
  <si>
    <t>Peak flow with bronchodilator reversibility</t>
  </si>
  <si>
    <t>Fractional exhaled nitric oxide (FeNO)</t>
  </si>
  <si>
    <t>PEFv</t>
  </si>
  <si>
    <t>may be used to support other tests</t>
  </si>
  <si>
    <t>Skin prick</t>
  </si>
  <si>
    <t>Blood eosinophils test</t>
  </si>
  <si>
    <t>n/a</t>
  </si>
  <si>
    <t>IgE blood test</t>
  </si>
  <si>
    <t>used</t>
  </si>
  <si>
    <t>Treatment option</t>
  </si>
  <si>
    <t>HRG code</t>
  </si>
  <si>
    <t>HRG description</t>
  </si>
  <si>
    <t>Tariff</t>
  </si>
  <si>
    <t>on the</t>
  </si>
  <si>
    <t>First attendance</t>
  </si>
  <si>
    <t>258 (WF01B)</t>
  </si>
  <si>
    <t>Paediatric respiratory medicine service</t>
  </si>
  <si>
    <t>left.</t>
  </si>
  <si>
    <t>Follow up attendance</t>
  </si>
  <si>
    <t>258 (WF01A)</t>
  </si>
  <si>
    <t>Based on 2023/25 National Tariff Payment System -  24/25 prices</t>
  </si>
  <si>
    <t>https://www.england.nhs.uk/pay-syst/national-tariff/national-tariff-payment-system/#National-Tariff-Payment-System</t>
  </si>
  <si>
    <t>Local</t>
  </si>
  <si>
    <t>prices</t>
  </si>
  <si>
    <t>340 (WF01B)</t>
  </si>
  <si>
    <t>Respiratory medicine service</t>
  </si>
  <si>
    <t>340 (WF01A)</t>
  </si>
  <si>
    <t>Adverse events, annual costs and rates</t>
  </si>
  <si>
    <t>Event</t>
  </si>
  <si>
    <t>Unit cost (£) local prices</t>
  </si>
  <si>
    <t>Adverse events avoided from better diagnosis and monitoring</t>
  </si>
  <si>
    <t xml:space="preserve">Extract: The paper by Green and colleagues [19] showed that patients managed with FeNO test had significantly fewer severe asthma exacerbations than patients managed following standard British Thoracic Society asthma guidelines (35 vs. 109; p = 0·01); moreover, significantly fewer patients were admitted to the hospital with asthma (1 vs. 6, p = 0·047) showing a decrease of 83% with the FeNO strategy.  Assumption: This is applied to people who's asthma is not well controlled to estimate potential resources released. </t>
  </si>
  <si>
    <t>Unit cost based on 2023/25 National Tariff Payment System -  24/25 prices - excess bed day tariff</t>
  </si>
  <si>
    <t xml:space="preserve">Unit costs, local prices are entered as indicative values.  Values are 80% of national prices representing the costs without overheads.  Amend locally. </t>
  </si>
  <si>
    <t>Diagnosis / monitoring equipment cost</t>
  </si>
  <si>
    <t>Price</t>
  </si>
  <si>
    <t>VAT rate applicable</t>
  </si>
  <si>
    <t>Source</t>
  </si>
  <si>
    <t>FeNO</t>
  </si>
  <si>
    <t>Various - average cost</t>
  </si>
  <si>
    <t>Evidence review (HE) NHS Supply Chain Catalogue(NHS Supply Chain Catalogue., 2022)</t>
  </si>
  <si>
    <t>Other equipment (enter locally)</t>
  </si>
  <si>
    <t xml:space="preserve">Assuming that the equipment would last for 7 years and used on average 2100 times during that period(MicroDirect, 2019). </t>
  </si>
  <si>
    <t xml:space="preserve">Assumed across the NHS, the average number of tests per device per year is 300 tests </t>
  </si>
  <si>
    <t>Other workings</t>
  </si>
  <si>
    <t>HES data 2022/23</t>
  </si>
  <si>
    <t>FCE</t>
  </si>
  <si>
    <t>Admissions</t>
  </si>
  <si>
    <t>Emergency</t>
  </si>
  <si>
    <t>Waiting list</t>
  </si>
  <si>
    <t>Planned</t>
  </si>
  <si>
    <t>Other Admission Method</t>
  </si>
  <si>
    <t>Mean time waited</t>
  </si>
  <si>
    <t>Median time waited</t>
  </si>
  <si>
    <t>Mean length of stay</t>
  </si>
  <si>
    <t>Median length of stay</t>
  </si>
  <si>
    <t>Mean age</t>
  </si>
  <si>
    <t>J45.0</t>
  </si>
  <si>
    <t>Predominantly allergic asthma</t>
  </si>
  <si>
    <t>J45.1</t>
  </si>
  <si>
    <t>Nonallergic asthma</t>
  </si>
  <si>
    <t>J45.8</t>
  </si>
  <si>
    <t>Mixed asthma</t>
  </si>
  <si>
    <t>J45.9</t>
  </si>
  <si>
    <t>Asthma, unspecified</t>
  </si>
  <si>
    <t>Hospital Admitted Patient Care Activity, 2022-23 - NHS England Digital</t>
  </si>
  <si>
    <t>Average LOS corresponds with:</t>
  </si>
  <si>
    <t>investing-breath-measuring-economic-cost-asthma-copd-uk-identifying-ways-reduce-it-through-better (asthmaandlung.org.uk)</t>
  </si>
  <si>
    <t>Fractional exhaled nitric oxide (FeNO): the future of asthma care? | British Journal of General Practice (bjgp.org)</t>
  </si>
  <si>
    <r>
      <t xml:space="preserve">Bed days and winter impacts analysis: As part of this analysis, the impact of the patient refills on bed days in the NHS, and how this might occur over winter were modelled. To calculate the baseline level of bed days, it was assumed all the hospitalisations within the model had an </t>
    </r>
    <r>
      <rPr>
        <b/>
        <sz val="11"/>
        <color theme="1"/>
        <rFont val="Calibri"/>
        <family val="2"/>
        <scheme val="minor"/>
      </rPr>
      <t>average length of stay of three days.</t>
    </r>
    <r>
      <rPr>
        <sz val="11"/>
        <color theme="1"/>
        <rFont val="Calibri"/>
        <family val="2"/>
        <scheme val="minor"/>
      </rPr>
      <t xml:space="preserve"> Multiplying these together gives us the total number of bed days expected in 2023. The usage of FeNO during reviews of asthma lowers the risk of hospitalisation but this has not been modelled this in detail.'</t>
    </r>
  </si>
  <si>
    <t>Per HE evidence reviews for guideline:</t>
  </si>
  <si>
    <t>Time of practice nurse</t>
  </si>
  <si>
    <t>30 minutes</t>
  </si>
  <si>
    <t>£63.38 per hour</t>
  </si>
  <si>
    <t>PSSRU 2022 (Jones, et al.)</t>
  </si>
  <si>
    <t>Respiratory nurse</t>
  </si>
  <si>
    <t>15 minutes</t>
  </si>
  <si>
    <r>
      <t>£63.38 per hour</t>
    </r>
    <r>
      <rPr>
        <vertAlign val="superscript"/>
        <sz val="10"/>
        <color rgb="FF000000"/>
        <rFont val="Arial"/>
        <family val="2"/>
      </rPr>
      <t>(a)</t>
    </r>
  </si>
  <si>
    <t>PSSRU 2022(Jones, et al.)</t>
  </si>
  <si>
    <t>20 minutes</t>
  </si>
  <si>
    <t>PEF rec 1.5.3 do not do</t>
  </si>
  <si>
    <t>Mid-point 15 minutes used</t>
  </si>
  <si>
    <r>
      <t>10 – 20 minutes</t>
    </r>
    <r>
      <rPr>
        <vertAlign val="superscript"/>
        <sz val="10"/>
        <color rgb="FF000000"/>
        <rFont val="Arial"/>
        <family val="2"/>
      </rPr>
      <t>(a)</t>
    </r>
  </si>
  <si>
    <t>£10.57 - £21.13</t>
  </si>
  <si>
    <t>Nurse time minutes (e)</t>
  </si>
  <si>
    <t>40 minutes</t>
  </si>
  <si>
    <t>NICE Food Allergy CG116(National Institute for Health and Care Excellence, 2011)</t>
  </si>
  <si>
    <t>Nurse cost per hour (f)</t>
  </si>
  <si>
    <t>Rec 1.5.4</t>
  </si>
  <si>
    <t>BPT</t>
  </si>
  <si>
    <t>HRG name</t>
  </si>
  <si>
    <t>Best practice tariff:
Non-elective (£)</t>
  </si>
  <si>
    <t>Best practice tariff:
Reduced short stay emergency adjustment (£)</t>
  </si>
  <si>
    <t>Non-best practice tariff:
Non-elective (£)</t>
  </si>
  <si>
    <t>Non-best practice tariff:
Reduced short stay emergency adjustment (£)</t>
  </si>
  <si>
    <t>HRG or sub-HRG level</t>
  </si>
  <si>
    <t>BPT Flag (see tab 6b - BPT flags)</t>
  </si>
  <si>
    <t>% applied in calculation of reduced short stay emergency adjustment</t>
  </si>
  <si>
    <t>DZ15M</t>
  </si>
  <si>
    <t>Asthma with Interventions</t>
  </si>
  <si>
    <t>HRG</t>
  </si>
  <si>
    <t>DZ15N</t>
  </si>
  <si>
    <t>Asthma without Interventions, with CC Score 9+</t>
  </si>
  <si>
    <t>DZ15P</t>
  </si>
  <si>
    <t>Asthma without Interventions, with CC Score 6-8</t>
  </si>
  <si>
    <t>DZ15Q</t>
  </si>
  <si>
    <t>Asthma without Interventions, with CC Score 3-5</t>
  </si>
  <si>
    <t>DZ15R</t>
  </si>
  <si>
    <t>Asthma without Interventions, with CC Score 0-2</t>
  </si>
  <si>
    <t>Non BPT</t>
  </si>
  <si>
    <t>Non elective spell</t>
  </si>
  <si>
    <t>Summary  - annual resource impact</t>
  </si>
  <si>
    <t xml:space="preserve">The tables below summarise activity and cost estimates for key recommendations that may be a change to current  practice. </t>
  </si>
  <si>
    <t>Activity is split between secondary and primary care settings which is linked to the variables from the interventions inputs sheet.</t>
  </si>
  <si>
    <t>Capacity impacts are linked to the inputs and eligible population sheets and unit costs sheet. Please refer to these worksheets for source information and amend for local cost estimates where needed.</t>
  </si>
  <si>
    <t>Estimated number of administrations</t>
  </si>
  <si>
    <t>Eligible population and uptake</t>
  </si>
  <si>
    <t>Future practice -year 3</t>
  </si>
  <si>
    <t>Future practice - year 4</t>
  </si>
  <si>
    <t>Future practice - year 5</t>
  </si>
  <si>
    <t>Eligible population (prevalence)</t>
  </si>
  <si>
    <t>Incident population</t>
  </si>
  <si>
    <t>Total incidence</t>
  </si>
  <si>
    <t>Secondary care increase in referrals</t>
  </si>
  <si>
    <t>Financial resource impact</t>
  </si>
  <si>
    <t>Cash items</t>
  </si>
  <si>
    <t>£'000</t>
  </si>
  <si>
    <t>Resource impact per year</t>
  </si>
  <si>
    <t>Increase in cost to current practice</t>
  </si>
  <si>
    <t>Year on year increase in cost</t>
  </si>
  <si>
    <t>Basis upon which the resource impact of capacity items are calculated is</t>
  </si>
  <si>
    <t>Capacity impact, financial</t>
  </si>
  <si>
    <t>Non-cash</t>
  </si>
  <si>
    <t>All capacity items</t>
  </si>
  <si>
    <t>Total resource impact</t>
  </si>
  <si>
    <t>Cash items and financial impact of capacity items</t>
  </si>
  <si>
    <t>Capacity impact, activity</t>
  </si>
  <si>
    <t>Capacity impact on activity (various)</t>
  </si>
  <si>
    <t>Capacity impact on nursing staffing - hours</t>
  </si>
  <si>
    <t>Impact on secondary care nursing (hours)</t>
  </si>
  <si>
    <t>Capacity impact due to reduced adverse events</t>
  </si>
  <si>
    <t>Unit Cost</t>
  </si>
  <si>
    <t>Financial Impact (Cash)</t>
  </si>
  <si>
    <t>Financial impact (cash) shows actual costs that are real spend of actual money, such as on drugs.</t>
  </si>
  <si>
    <t>Progression towards implementation will vary according to baseline position and degree of change that takes place.</t>
  </si>
  <si>
    <t>Tests included below are those which have wide variation in practice and where costs are likely to be more significant.</t>
  </si>
  <si>
    <t>Eligible population</t>
  </si>
  <si>
    <t>Current practice - 
year 0</t>
  </si>
  <si>
    <t>Eligible population - prevalence</t>
  </si>
  <si>
    <t>Eligible population  (incidence)</t>
  </si>
  <si>
    <t>Eligible population incidence</t>
  </si>
  <si>
    <t>Capacity impact (local prices)</t>
  </si>
  <si>
    <t>This sheet shows the capacity impact of the guidance.</t>
  </si>
  <si>
    <t>Summary table</t>
  </si>
  <si>
    <t>Each item of capacity is modelled in an individual table below to give an overall estimate of resource impact</t>
  </si>
  <si>
    <t>Specialty appointments hours and cost</t>
  </si>
  <si>
    <t>Duration of tests (minutes)</t>
  </si>
  <si>
    <t>Hourly rate</t>
  </si>
  <si>
    <t>Number per patient per year</t>
  </si>
  <si>
    <t>Change in number of attendances current practice</t>
  </si>
  <si>
    <t>All options</t>
  </si>
  <si>
    <t>Administrations - change in duration (hours) to current practice</t>
  </si>
  <si>
    <t>Duration of administration
(mins)</t>
  </si>
  <si>
    <t>Nursing staffing - reduced use of PEF test for monitoring</t>
  </si>
  <si>
    <t>PEF tests  - reduced use</t>
  </si>
  <si>
    <t>Adverse events - reduced exacerbations - FeNO monitoring (bed days released)</t>
  </si>
  <si>
    <t>Adverse events, various (cases)</t>
  </si>
  <si>
    <t>Unit cost</t>
  </si>
  <si>
    <t>People monitored using FeNO - reduction in exacerbations - bed days</t>
  </si>
  <si>
    <t>Adverse events - change to current practice bed days released</t>
  </si>
  <si>
    <t>Capacity impact (national prices)</t>
  </si>
  <si>
    <t>Band</t>
  </si>
  <si>
    <t>Code</t>
  </si>
  <si>
    <t>Enhancements Mon-Fri</t>
  </si>
  <si>
    <t>Enhancements Sun</t>
  </si>
  <si>
    <t>Band 2 Bottom</t>
  </si>
  <si>
    <t>Band 2 Top</t>
  </si>
  <si>
    <t>Band 3 Bottom</t>
  </si>
  <si>
    <t>Band 3 Top</t>
  </si>
  <si>
    <t>Band 4 Bottom</t>
  </si>
  <si>
    <t>Band 4 Top</t>
  </si>
  <si>
    <t>Band 5 Bottom</t>
  </si>
  <si>
    <t>Band 5 Mid</t>
  </si>
  <si>
    <t>Band 5 Top</t>
  </si>
  <si>
    <t>Band 6 Bottom</t>
  </si>
  <si>
    <t>Band 6 Mid</t>
  </si>
  <si>
    <t>Band 6 Top</t>
  </si>
  <si>
    <t>Band 7 Bottom</t>
  </si>
  <si>
    <t>Band 7 Mid</t>
  </si>
  <si>
    <t>Band 7 Top</t>
  </si>
  <si>
    <t>Band 8a Mid</t>
  </si>
  <si>
    <t>Band 8a Top</t>
  </si>
  <si>
    <t>Band 8b Bottom</t>
  </si>
  <si>
    <t>Band 8b Mid</t>
  </si>
  <si>
    <t>Band 8b Top</t>
  </si>
  <si>
    <t>Band 8c Bottom</t>
  </si>
  <si>
    <t>Band 8c Mid</t>
  </si>
  <si>
    <t>Band 8c Top</t>
  </si>
  <si>
    <t>Band 8d Bottom</t>
  </si>
  <si>
    <t>Band 8d Mid</t>
  </si>
  <si>
    <t>Band 8d Top</t>
  </si>
  <si>
    <t>Band 9 Bottom</t>
  </si>
  <si>
    <t>Band 9 Mid</t>
  </si>
  <si>
    <t>Band 9 Top</t>
  </si>
  <si>
    <t>Consultant</t>
  </si>
  <si>
    <t>Consultant bottom</t>
  </si>
  <si>
    <t>Consultant top</t>
  </si>
  <si>
    <t>GP</t>
  </si>
  <si>
    <t>Non medical staffing</t>
  </si>
  <si>
    <t>Day per year</t>
  </si>
  <si>
    <t>Annual leave/bank holidays</t>
  </si>
  <si>
    <t>Mandatory training</t>
  </si>
  <si>
    <t>Sickness at 4%</t>
  </si>
  <si>
    <t>8A</t>
  </si>
  <si>
    <t>Annual hours per year</t>
  </si>
  <si>
    <t>Weeks worked (net of annual leave/training leave)</t>
  </si>
  <si>
    <t>8B</t>
  </si>
  <si>
    <t>Sessions worked per week (4 hour sessions)</t>
  </si>
  <si>
    <t>Less SPA allowance (4 hour sessions)</t>
  </si>
  <si>
    <t>Hours of clinical work per year</t>
  </si>
  <si>
    <t>8C</t>
  </si>
  <si>
    <t>Number of working weeks per year</t>
  </si>
  <si>
    <t>Average working hours per week</t>
  </si>
  <si>
    <t>Total hours per year</t>
  </si>
  <si>
    <t>% of direct patient care</t>
  </si>
  <si>
    <t>8D</t>
  </si>
  <si>
    <t>Number of hours of direct patient care</t>
  </si>
  <si>
    <t>Appointments with specialist - paediatric</t>
  </si>
  <si>
    <t>Appointments with specialist - adult</t>
  </si>
  <si>
    <t>Monitoring 1.5.4</t>
  </si>
  <si>
    <t>People aged 5 and over</t>
  </si>
  <si>
    <t>Asthma that is not controlled ,recommendation 1.7.3  - people who have asthma aged 12 and over</t>
  </si>
  <si>
    <t xml:space="preserve">Per person </t>
  </si>
  <si>
    <t>Primary Care - uptake of each type of test</t>
  </si>
  <si>
    <t>Secondary care - uptake of each test</t>
  </si>
  <si>
    <t>DIAGNOSIS</t>
  </si>
  <si>
    <t>Percentage split between settings</t>
  </si>
  <si>
    <t>MONITORING</t>
  </si>
  <si>
    <t>Proportion of people monitored</t>
  </si>
  <si>
    <t>Number of people monitored</t>
  </si>
  <si>
    <t>The impact affects the uptake of each type of test within each setting, therefore both variables need to be considered at the same time.</t>
  </si>
  <si>
    <t>Eligible population  aged 5 and over</t>
  </si>
  <si>
    <t>Spirometry (all people aged 5 and over)</t>
  </si>
  <si>
    <t>Diagnostics resource impact (cash)</t>
  </si>
  <si>
    <t>Testing - diagnosis/monitoring</t>
  </si>
  <si>
    <t>People receiving the diagnostic/monitoring options</t>
  </si>
  <si>
    <t>Diagnosis/monitoring testing (primary care)</t>
  </si>
  <si>
    <t>Diagnosis/monitoring testing (secondary care)</t>
  </si>
  <si>
    <t>Primary care - hours required for test</t>
  </si>
  <si>
    <t xml:space="preserve"> FeNO test</t>
  </si>
  <si>
    <t>Spirometry test</t>
  </si>
  <si>
    <t>Time required in mins</t>
  </si>
  <si>
    <t>Primary care - number of tests</t>
  </si>
  <si>
    <t>Primary care - hours for tests and cost</t>
  </si>
  <si>
    <t xml:space="preserve">Primary care </t>
  </si>
  <si>
    <t xml:space="preserve">Secondary care </t>
  </si>
  <si>
    <t>Secondary care - number of tests</t>
  </si>
  <si>
    <t>Secondary care - hours required for test</t>
  </si>
  <si>
    <t>Weighted average cost</t>
  </si>
  <si>
    <t>340 (WF01B) / 258 (WF01B)</t>
  </si>
  <si>
    <t>Percentage adolescents / adults</t>
  </si>
  <si>
    <t>For the purposes of asthma management, it is assumed adolescents can follow the same management pathway and treatments as adults (per cttee discussions)</t>
  </si>
  <si>
    <t>340 (WF01A)/258 (WF01A)</t>
  </si>
  <si>
    <t>Percentage increase in referrals to specialist</t>
  </si>
  <si>
    <t>Total people monitored</t>
  </si>
  <si>
    <r>
      <t xml:space="preserve">Clinical staffing (respiratory) </t>
    </r>
    <r>
      <rPr>
        <b/>
        <sz val="11"/>
        <color theme="1"/>
        <rFont val="Calibri"/>
        <family val="2"/>
        <scheme val="minor"/>
      </rPr>
      <t>primary care</t>
    </r>
    <r>
      <rPr>
        <sz val="11"/>
        <color theme="1"/>
        <rFont val="Calibri"/>
        <family val="2"/>
        <scheme val="minor"/>
      </rPr>
      <t xml:space="preserve"> - hours and cost</t>
    </r>
  </si>
  <si>
    <t>Referral for second opinion from diagnosis</t>
  </si>
  <si>
    <t>This template allows the resource impact to be modelled.  It allows users to tailor data to suit local circumstances. Blue cells are not locked.  Data can be entered or changed locally.</t>
  </si>
  <si>
    <r>
      <t>Number of</t>
    </r>
    <r>
      <rPr>
        <b/>
        <sz val="11"/>
        <color theme="1"/>
        <rFont val="Calibri"/>
        <family val="2"/>
        <scheme val="minor"/>
      </rPr>
      <t xml:space="preserve"> PEF tests</t>
    </r>
  </si>
  <si>
    <t>Do not use regular peak expiratory flow (PEF) monitoring to assess asthma control unless there are person-specific reasons for doing so [2024]</t>
  </si>
  <si>
    <t>Reduced use of peak expiratory flow (PEF) rec. 1.5.3</t>
  </si>
  <si>
    <t>Assumed accessed via primary care</t>
  </si>
  <si>
    <t xml:space="preserve">prices </t>
  </si>
  <si>
    <t>are</t>
  </si>
  <si>
    <t xml:space="preserve">can be </t>
  </si>
  <si>
    <t xml:space="preserve">used as </t>
  </si>
  <si>
    <t xml:space="preserve">as an </t>
  </si>
  <si>
    <t>alternative.</t>
  </si>
  <si>
    <t>The</t>
  </si>
  <si>
    <t xml:space="preserve">selection </t>
  </si>
  <si>
    <t>between</t>
  </si>
  <si>
    <t xml:space="preserve">using </t>
  </si>
  <si>
    <t>local or</t>
  </si>
  <si>
    <t>national</t>
  </si>
  <si>
    <t>is made</t>
  </si>
  <si>
    <t>summary</t>
  </si>
  <si>
    <t>worksheet.</t>
  </si>
  <si>
    <t>Average cost</t>
  </si>
  <si>
    <t>Number per year</t>
  </si>
  <si>
    <t>Primary care - number of asthma tests</t>
  </si>
  <si>
    <t>Secondary care - number of asthma tests</t>
  </si>
  <si>
    <t>Nursing staffing - reduced use of PEF test for monitoring (primary care)</t>
  </si>
  <si>
    <t>Speciality appointments  - hours</t>
  </si>
  <si>
    <t>Primary care - hours for asthma tests</t>
  </si>
  <si>
    <t>Secondary care - hours for asthma tests</t>
  </si>
  <si>
    <t>Improving access to FeNO testing in primary care - The Health Innovation Network</t>
  </si>
  <si>
    <t>Percentage requiring bronchial challenge test</t>
  </si>
  <si>
    <t>Increase in referrals to sec care specialist for - second opinion (rec. 1.2.9 and 1.2.4)</t>
  </si>
  <si>
    <t>Diagnosis - recommendations 1.1.5, 1.2.4 and 1.2.9</t>
  </si>
  <si>
    <t>Average LOS bed days</t>
  </si>
  <si>
    <t>Referral for bronchial challenge test per person per year</t>
  </si>
  <si>
    <t>Specialty appointments attendances (bronchial challenge test second opinion)</t>
  </si>
  <si>
    <t>5-12 yr olds</t>
  </si>
  <si>
    <t>5 and over</t>
  </si>
  <si>
    <t>Bronchial challenge tests | Asthma + Lung UK (asthmaandlung.org.uk)</t>
  </si>
  <si>
    <t>Time required per appointment (mins)</t>
  </si>
  <si>
    <t>Bronchial challenge referrals second opinion (incident population)</t>
  </si>
  <si>
    <t>Medicinal forms | Mannitol | Drugs | BNF | NICE</t>
  </si>
  <si>
    <t>Testing tine for bronchial challenge test source: Assumed respiratory  physician carries out test.</t>
  </si>
  <si>
    <t>Bronchial challenge tests (rec 1.2.9 and 1.2.4) additional tests from referrals</t>
  </si>
  <si>
    <t>Secondary care: Respiratory specialist (referrals rec 1.2.4 &amp; 1.2.9)</t>
  </si>
  <si>
    <t>Product details for FAG4203 - NHS Supply Chain Online Catalogue</t>
  </si>
  <si>
    <t>*Assumed single patient use only per:</t>
  </si>
  <si>
    <t>abuhb.nhs.wales/files/patient-information-leaflets1/breathing-respiratory/nebuliser-care-of-your-nebuliser-pdf/</t>
  </si>
  <si>
    <t>Recommendations 1.1.5/1.2.4/1.2.4/1.2.9 - Acute presentation - tests</t>
  </si>
  <si>
    <t>FeNO tests performed per year per machine (average size hospital trust)</t>
  </si>
  <si>
    <t>Change in no. of devices</t>
  </si>
  <si>
    <t>FeNO tests performed per year per machine (amend locally)</t>
  </si>
  <si>
    <t>Average number of FeNO tests performed per year per Evidence review F - FeNO Table 9 / Evidence review A Spirometry Table 5 - assumes 2,100 tests performed over machine lifetime 7 years (2100/7 = 300)</t>
  </si>
  <si>
    <t>Equipment for diagnostic testing and monitoring in secondary care</t>
  </si>
  <si>
    <t>Equipment for diagnostic testing and monitoring in primary care</t>
  </si>
  <si>
    <t>Device / details</t>
  </si>
  <si>
    <t>Average annual training cost per healthcare professional</t>
  </si>
  <si>
    <t>Equipment costs secondary care settings</t>
  </si>
  <si>
    <t>Spirometry device</t>
  </si>
  <si>
    <t>Annual equipment training - enter locally</t>
  </si>
  <si>
    <t>Annual maintenance cost - FeNO - enter locally</t>
  </si>
  <si>
    <t>Equipment resource impact secondary care</t>
  </si>
  <si>
    <t>Resource impact (cash) year on year</t>
  </si>
  <si>
    <t>Equipment costs primary  care settings</t>
  </si>
  <si>
    <t>Testing for  diagnosis/monitoring resource impact</t>
  </si>
  <si>
    <t>Equipment  - estimated demand</t>
  </si>
  <si>
    <t>Bronchial challenge test</t>
  </si>
  <si>
    <t>Additional referrals</t>
  </si>
  <si>
    <t>Referral for second opinion - secondary care services:</t>
  </si>
  <si>
    <t>Peak flow +BDR</t>
  </si>
  <si>
    <t>PEF+ Bronchodilator reversibility (BDR) test</t>
  </si>
  <si>
    <r>
      <t>Number of</t>
    </r>
    <r>
      <rPr>
        <b/>
        <sz val="11"/>
        <color theme="1"/>
        <rFont val="Calibri"/>
        <family val="2"/>
        <scheme val="minor"/>
      </rPr>
      <t xml:space="preserve"> peak flow (PEF) tests</t>
    </r>
  </si>
  <si>
    <t>Peak flow +BDR test</t>
  </si>
  <si>
    <t>Equipment resource impact primary care</t>
  </si>
  <si>
    <t>Diagnosis / monitoring equipment devices</t>
  </si>
  <si>
    <t>Secondary care settings</t>
  </si>
  <si>
    <t>FeNO - change in number of devices</t>
  </si>
  <si>
    <t>Spirometry - change in number of devices</t>
  </si>
  <si>
    <t>Primary care settings</t>
  </si>
  <si>
    <t>Percentage paediatric</t>
  </si>
  <si>
    <t>For the purposes of monitoring GC members agreed this could be 12 and over age group as they would also be monitored.</t>
  </si>
  <si>
    <t>Asthma</t>
  </si>
  <si>
    <t>Respiratory</t>
  </si>
  <si>
    <t>Diagnosis and management</t>
  </si>
  <si>
    <t>Inhaler treatments</t>
  </si>
  <si>
    <t>GP; Secondary care acute respiratory services.</t>
  </si>
  <si>
    <t>ICBs</t>
  </si>
  <si>
    <t>Referrals to sec. care- change in hours to current practice</t>
  </si>
  <si>
    <t xml:space="preserve">Clinical staffing - objective/monitoring number of tests </t>
  </si>
  <si>
    <t>Peak flow + BDR</t>
  </si>
  <si>
    <t xml:space="preserve">Clinical staffing - objective /monitoring number of tests </t>
  </si>
  <si>
    <t>Weighted average Tariff</t>
  </si>
  <si>
    <t>Annual maintenance cost - Spirometry- enter locally</t>
  </si>
  <si>
    <t>Impact on primary care (nurse practitioner hours)</t>
  </si>
  <si>
    <t>FeNO (as relevant to age group)</t>
  </si>
  <si>
    <t>Peak flow + BDR (all people aged 5 and over)</t>
  </si>
  <si>
    <t>*Bronchial challenge test (drug cost - mannitol £8.27 for 10 pack including device)</t>
  </si>
  <si>
    <t>Spirometry tests performed/year per machine</t>
  </si>
  <si>
    <t>Assumption: current use of FeNO/Spirometry in sec care per NCAP report linked  below. Assumed 50/50 split where hospitals have access to either.</t>
  </si>
  <si>
    <t xml:space="preserve">Spirometry assumed to be used for diagnostic purposes only in sec care. Monitoring using FeNO is assumed for many people to take place in secondary care clinics (per p47 guideline). Users should review the interventions input sheet (monitoring section) and amend secondary uptake of tests locally. </t>
  </si>
  <si>
    <t>Annual maintenance costs - FeNO</t>
  </si>
  <si>
    <t>Annual maintenance costs - Spirometry</t>
  </si>
  <si>
    <t>*Bronchial challenge test (equipment cost - nebuliser single patient use only)</t>
  </si>
  <si>
    <t>Summary</t>
  </si>
  <si>
    <t>FeNO device</t>
  </si>
  <si>
    <t>Peak flow + Bronchodilator reversibility (BDR)</t>
  </si>
  <si>
    <t>rec. 1.1.5</t>
  </si>
  <si>
    <t>rec. 1.1.5/1.2.9</t>
  </si>
  <si>
    <t>rec. 1.2.9/1.2.4</t>
  </si>
  <si>
    <t>rec. 1.1.5/1.2.4</t>
  </si>
  <si>
    <t>Putting the guidance into practice</t>
  </si>
  <si>
    <t>11B Problems of the Respiratory System - Asthma</t>
  </si>
  <si>
    <t>Entries below are for illustrative purposes. Please amend.</t>
  </si>
  <si>
    <t>Low-dose MART rec 1.7.3</t>
  </si>
  <si>
    <t>Adults with asthma represent 83% of above population, percentage emergency department attendances (total 9% per above based on HES data 22/23) are assumed to have the same split i.e. 9% x 83% = 7% admissions are adults with 2%  in the paediatric population.</t>
  </si>
  <si>
    <t>Data in the blue cells are used throughout the worksheets to show a tailored resource impact. Where no entries are made in blue cells, standard assumptions are used.</t>
  </si>
  <si>
    <t>Do you want to use this estimate of your eligible population?</t>
  </si>
  <si>
    <t>Eligible population diagnosis objective tests and second opinion - Aged 5 and over (estimate)</t>
  </si>
  <si>
    <t>Review the data in each blue cell below.  Enter a choice, a local value or leave the standard data in place.</t>
  </si>
  <si>
    <t>Eligible population 1.5.4 monitoring asthma control ( estimate) - 12 and over.</t>
  </si>
  <si>
    <t>Do you want to use this estimate of your population?</t>
  </si>
  <si>
    <t>Above are template illustrative estimates / estimates based on respiratory exert opinion. Please amend locally.</t>
  </si>
  <si>
    <t>Review the data in each blue cell below.  Enter a local value or leave the template standard assumptions.</t>
  </si>
  <si>
    <t>Total population for:</t>
  </si>
  <si>
    <t xml:space="preserve">This worksheet allows users to model the impact of recommendations that may lead to a change in where services are delivered; the impact of future activity changes in key areas where practice varies and the equipment expenditure impact as a result.
Potential resources released can be assessed from 'do not do' recs and better asthma control.  </t>
  </si>
  <si>
    <t xml:space="preserve">Prevalence of asthma in people aged 5 and over </t>
  </si>
  <si>
    <t>People aged 5 and over (incidence)</t>
  </si>
  <si>
    <t>People aged 12 and over (prevalent pop)</t>
  </si>
  <si>
    <t>Implementing the guideline could mean a shift between settings where diagnostic and monitoring tests are performed. This could result in the requirement to purchase equipment for testing.</t>
  </si>
  <si>
    <t>Spirometry is  used for diagnosis of asthma and is not standard practice for monitoring asthma .</t>
  </si>
  <si>
    <t>Bronchial challenge tests (rec 1.2.9 and 1.2.4) drug &amp; device cost</t>
  </si>
  <si>
    <t>A simple and effective evidence-based approach to asthma management: ICS-formoterol reliever therapy</t>
  </si>
  <si>
    <t>https://www.asthmaandlung.org.uk/sites/default/files/2023-03/aas-2020_2a-1.pdf</t>
  </si>
  <si>
    <t>Adjustment for people non-adherent to treatment / have inhaler technique difficulties / have other reasons for symptoms</t>
  </si>
  <si>
    <t>Percentage split between settings*</t>
  </si>
  <si>
    <t>*Respiratory expert opinion, please amend locally.</t>
  </si>
  <si>
    <t>MART reduced severe exacerbations by 21% and hospital or emergency admissions by 37% in mild asthma compared with maintenance ICS SABA</t>
  </si>
  <si>
    <t>Proportionate to asthma that is not controlled (current cases) in England rec 1.7.3</t>
  </si>
  <si>
    <t>Reporting Period</t>
  </si>
  <si>
    <t>Measure Type</t>
  </si>
  <si>
    <t>Description</t>
  </si>
  <si>
    <t>Attendances</t>
  </si>
  <si>
    <t>2023/24</t>
  </si>
  <si>
    <t>First Diagnosis Code</t>
  </si>
  <si>
    <t>195967001</t>
  </si>
  <si>
    <t>Asthma (Disorder)</t>
  </si>
  <si>
    <t>281239006</t>
  </si>
  <si>
    <t>Exacerbation Of Asthma (Disorder)</t>
  </si>
  <si>
    <t>370218001</t>
  </si>
  <si>
    <t>Mild Asthma (Disorder)</t>
  </si>
  <si>
    <t>370219009</t>
  </si>
  <si>
    <t>Moderate Asthma (Disorder)</t>
  </si>
  <si>
    <t>426979002</t>
  </si>
  <si>
    <t>Mild Persistent Asthma (Disorder)</t>
  </si>
  <si>
    <t>707445000</t>
  </si>
  <si>
    <t>Exacerbation Of Mild Persistent Asthma (Disorder)</t>
  </si>
  <si>
    <t>707446004</t>
  </si>
  <si>
    <t>Exacerbation Of Moderate Persistent Asthma (Disorder)</t>
  </si>
  <si>
    <t>707511009</t>
  </si>
  <si>
    <t>Uncomplicated Mild Persistent Asthma (Disorder)</t>
  </si>
  <si>
    <t>707980005</t>
  </si>
  <si>
    <t>Acute Severe Exacerbation Of Moderate Persistent Asthma (Disorder)</t>
  </si>
  <si>
    <t>708090002</t>
  </si>
  <si>
    <t>Acute Severe Exacerbation Of Asthma (Disorder)</t>
  </si>
  <si>
    <t>Hospital Accident &amp; Emergency Activity, 2023-24 - NHS England Digital</t>
  </si>
  <si>
    <t>All potentially relevant A&amp;E attendances 2023/24</t>
  </si>
  <si>
    <t>Objective testing (FeNO) / MART therapy</t>
  </si>
  <si>
    <t>Adverse events (A&amp;E attendances avoided) from switching from ICS/SABA to MART in not well controlled asthma</t>
  </si>
  <si>
    <t>Percentage admissions / A&amp;E attendances not controlled asthma</t>
  </si>
  <si>
    <t>Unit cost (£) 
national prices (HRG DZ15M) / VB08Z</t>
  </si>
  <si>
    <t>FeNO / MART therapy</t>
  </si>
  <si>
    <t>Adverse events avoided sources:</t>
  </si>
  <si>
    <t xml:space="preserve">Emergency attendances avoided - % reduction using MART approach </t>
  </si>
  <si>
    <t>Increase in uptake of MART (people swapping from current treatment) this is template estimate for illustrative purposes</t>
  </si>
  <si>
    <r>
      <t xml:space="preserve">HRG VB08Z assumed - Emergency medicine, Category 2 investigation with category 1 treatment (2024/25 Tariff = £182). </t>
    </r>
    <r>
      <rPr>
        <b/>
        <sz val="10"/>
        <rFont val="Arial"/>
        <family val="2"/>
      </rPr>
      <t>Please review and amend locally</t>
    </r>
    <r>
      <rPr>
        <sz val="10"/>
        <rFont val="Arial"/>
        <family val="2"/>
      </rPr>
      <t>.</t>
    </r>
  </si>
  <si>
    <t>Emergency hospital admissions</t>
  </si>
  <si>
    <t>Reduction in admissions from severe exacerbations 21%x37% =</t>
  </si>
  <si>
    <t>Adverse events - reduced A&amp;E attendances - MART approach</t>
  </si>
  <si>
    <t>People switched to MART - reduction in A&amp;E attendances</t>
  </si>
  <si>
    <t>Adverse events - change to A&amp;E attendances</t>
  </si>
  <si>
    <t>Reduction in admissions / attendances in each year from change in uptake.</t>
  </si>
  <si>
    <t>Reduced exacerbations resulting in hospital admission - FENO</t>
  </si>
  <si>
    <t>Reduced exacerbations resulting in A&amp;E attendance - MART</t>
  </si>
  <si>
    <t>Change in number of tests to current practice</t>
  </si>
  <si>
    <t>Change in duration (hours) to current practice</t>
  </si>
  <si>
    <t>Local price 80%</t>
  </si>
  <si>
    <t>Local weighted average tariff</t>
  </si>
  <si>
    <t xml:space="preserve">Differences in national cost and local prices cost is mainly due to capacity benefit from reduced use of PEF testing outside the recommended criteria in primary care. This benefit does not have a national price. </t>
  </si>
  <si>
    <t>Adverse events avoided - exacerbation resulting in hospital admission</t>
  </si>
  <si>
    <t>Reduced use of peak expiratory flow: Clinical expert opinion - Between 10-30% of practices use this approach outside the criteria in the recommendation. Assumed reduction is out of all prevalent cases and use of PEF monitoring is in primary care.</t>
  </si>
  <si>
    <t>Accident and emergency attendances uncontrolled asthma (mild) - Adults.</t>
  </si>
  <si>
    <t>A&amp;E attendances 2023/24 for mild uncontrolled asthma</t>
  </si>
  <si>
    <t>Assumption - adjust for hospital admissions assumed to be severe or moderate uncontrolled cases</t>
  </si>
  <si>
    <t>% of people attending A&amp;E each year with asthma that is mild and uncontrolled</t>
  </si>
  <si>
    <t>Respiratory expert opinion - mid point taken between c326,000 (25%) and c158,000. Please amend locally.</t>
  </si>
  <si>
    <t>Emergency attendances avoided - uncontrolled mild asthma (from increased uptake of MART) (compared with ICS+SABA when required)</t>
  </si>
  <si>
    <t>© NICE/BTS/SIGN 2024. All rights reserved. Subject to Notice of rights.</t>
  </si>
  <si>
    <t>Eligible population 1.7.3 low  dose MART for asthma not controlled on PRN ICS/formoterol alone combination inhaler each yr (estimate)</t>
  </si>
  <si>
    <t>Band 8a assumed for respiratory nurse / senior nurse practitioner  - please amend locally</t>
  </si>
  <si>
    <t>percentage calculated for England population (47,334/242235) = 19.54%</t>
  </si>
  <si>
    <t>Potential reduced A&amp;E attendances for non severe asthma when using MART approach</t>
  </si>
  <si>
    <t>Payscales</t>
  </si>
  <si>
    <t>Payscale required</t>
  </si>
  <si>
    <t xml:space="preserve">Non HCAS </t>
  </si>
  <si>
    <t>Employer NI threshold</t>
  </si>
  <si>
    <t>Employer NI contribution</t>
  </si>
  <si>
    <t>Employer Pension contribution</t>
  </si>
  <si>
    <t>Apprenticeship levy</t>
  </si>
  <si>
    <t>Pay award not included in pay scales</t>
  </si>
  <si>
    <t>Pay scale</t>
  </si>
  <si>
    <t>AfC Salary with 2024/25 pay award</t>
  </si>
  <si>
    <t>Pay award not included in current pay scales</t>
  </si>
  <si>
    <t>Adjusted pay</t>
  </si>
  <si>
    <t xml:space="preserve">Employers NI 
</t>
  </si>
  <si>
    <t xml:space="preserve">Apprenticeship levy </t>
  </si>
  <si>
    <t>Employer Pension</t>
  </si>
  <si>
    <t>Total salary cost incl. oncosts</t>
  </si>
  <si>
    <t>Hours to calculate hourly rate (based on column W calcs)</t>
  </si>
  <si>
    <t>HCAS Inner</t>
  </si>
  <si>
    <t>HCAS Outer</t>
  </si>
  <si>
    <t>HCAS Fringe</t>
  </si>
  <si>
    <t>HCAS inner</t>
  </si>
  <si>
    <t>HCAS outer</t>
  </si>
  <si>
    <t>HCAS fringe</t>
  </si>
  <si>
    <t>GP Bottom</t>
  </si>
  <si>
    <t>GP Mid</t>
  </si>
  <si>
    <t>Bronchodilator reversibility</t>
  </si>
  <si>
    <t>Respiratory expert opinion: MART is not current established practice except in the approximately 10% practices already using the AIR/MART approach. MART is not additional to other standard inhaler treatments. This estimate is used to capture benefits from the MART approach compared with maintenance ICS + SABA for potential resources released from reduced A&amp;E attendances in uncontrolled mild asthma. Please amend locally.</t>
  </si>
  <si>
    <t>Two areas were identified from respiratory expert input where practice currently varies or where recommendations are likely to change current practice. The areas are diagnosis and monitoring. Implementing these recs may also have resource implications for equipment expenditure (purchasing testing equipment) and increase referrals to secondary care services for a second opinion. For some localities, this may result in a change in the setting where people are diagnosed / monitored. There are potential resources released from reduced use of PEF tests and reduced exacerbations resulting in admission to hospital, and reduced A&amp;E attendances in uncontrolled mild asthma compared with maintenance ICS+SABA when needed. These can be assessed below.</t>
  </si>
  <si>
    <t>A&amp;E attendances avoided: Respiratory expert opinion: MART is not current established practice except in the approximately 10% practices already using the AIR/MART approach. MART is not additional to other standard inhaler treatments. This estimate is used to capture benefits from the MART approach compared with maintenance ICS + SABA for potential resources released from reduced A&amp;E attendances in uncontrolled mild asthma. See unit costs sheet.</t>
  </si>
  <si>
    <t>Health economics supporting the guidance.</t>
  </si>
  <si>
    <t>Scotland</t>
  </si>
  <si>
    <t>Aberdeen City</t>
  </si>
  <si>
    <t>Aberdeenshire</t>
  </si>
  <si>
    <t>Angus</t>
  </si>
  <si>
    <t>Argyll and Bute</t>
  </si>
  <si>
    <t>City of Edinburgh</t>
  </si>
  <si>
    <t>Clackmannanshire</t>
  </si>
  <si>
    <t>Dumfries and Galloway</t>
  </si>
  <si>
    <t>Dundee City</t>
  </si>
  <si>
    <t>East Ayrshire</t>
  </si>
  <si>
    <t>East Dunbartonshire</t>
  </si>
  <si>
    <t>East Lothian</t>
  </si>
  <si>
    <t>East Renfrewshire</t>
  </si>
  <si>
    <t>Falkirk</t>
  </si>
  <si>
    <t>Fife</t>
  </si>
  <si>
    <t>Glasgow City</t>
  </si>
  <si>
    <t>Highland</t>
  </si>
  <si>
    <t>Inverclyde</t>
  </si>
  <si>
    <t>Midlothian</t>
  </si>
  <si>
    <t>Moray</t>
  </si>
  <si>
    <t>Na h-Eileanan Siar</t>
  </si>
  <si>
    <t>North Ayrshire</t>
  </si>
  <si>
    <t>North Lanarkshire</t>
  </si>
  <si>
    <t>Orkney Islands</t>
  </si>
  <si>
    <t>Perth and Kinross</t>
  </si>
  <si>
    <t>Renfrewshire</t>
  </si>
  <si>
    <t>Scottish Borders</t>
  </si>
  <si>
    <t>Shetland Islands</t>
  </si>
  <si>
    <t>South Ayrshire</t>
  </si>
  <si>
    <t>South Lanarkshire</t>
  </si>
  <si>
    <t>Stirling</t>
  </si>
  <si>
    <t>West Dunbartonshire</t>
  </si>
  <si>
    <t>West Lothian</t>
  </si>
  <si>
    <t>National - Scotland</t>
  </si>
  <si>
    <t>Ayrshire and Arran</t>
  </si>
  <si>
    <t>Borders</t>
  </si>
  <si>
    <t>Forth Valley</t>
  </si>
  <si>
    <t>Grampian</t>
  </si>
  <si>
    <t>Greater Glasgow and Clyde</t>
  </si>
  <si>
    <t>Lanarkshire</t>
  </si>
  <si>
    <t>Lothian</t>
  </si>
  <si>
    <t>Orkney</t>
  </si>
  <si>
    <t>Shetland</t>
  </si>
  <si>
    <t>Tayside</t>
  </si>
  <si>
    <t>Western Isles</t>
  </si>
  <si>
    <t>Health Board</t>
  </si>
  <si>
    <t>Council area</t>
  </si>
  <si>
    <t>Council Area</t>
  </si>
  <si>
    <t>dr</t>
  </si>
  <si>
    <t>HealthBoard</t>
  </si>
  <si>
    <t>CouncilArea</t>
  </si>
  <si>
    <t>It is assumed the percentage of people  monitored in secondary care are people whose asthma is not well controlled. This estimate could change over time from implementing the guideline. Please overwrite and enter local estimate where different.</t>
  </si>
  <si>
    <r>
      <t xml:space="preserve">Although some published information shows FeNO is currently available to 53% of GPs across the UK (see source references below), expert opinion suggests it is only accessed and used in around 5-10% of primary care practices, however use of FeNO is increasing. </t>
    </r>
    <r>
      <rPr>
        <b/>
        <sz val="11"/>
        <color theme="1"/>
        <rFont val="Calibri"/>
        <family val="2"/>
        <scheme val="minor"/>
      </rPr>
      <t>Localities should review the  estimates above for testing and monitoring and amend locally</t>
    </r>
    <r>
      <rPr>
        <sz val="11"/>
        <color theme="1"/>
        <rFont val="Calibri"/>
        <family val="2"/>
        <scheme val="minor"/>
      </rPr>
      <t>. Other tests may also be used alongside FeNO to support diagnosis, therefore uptake does not need to total 100%. Localities need to enter % uptake of other tests used alongside FeNO.</t>
    </r>
  </si>
  <si>
    <t>Reduced exacerbations resulting in hospital admissions - MART approach (local entry)</t>
  </si>
  <si>
    <t>Hospital admissions in uncontrolled asthma (mild) - Adults (enter % estimate locally)</t>
  </si>
  <si>
    <t>Adverse events (hospital admissions avoided) from switching from ICS/SABA to mard in not well controlled mild asthma (enter local estimates)</t>
  </si>
  <si>
    <t>Local prices 80%</t>
  </si>
  <si>
    <t>FeNO / MART</t>
  </si>
  <si>
    <t>See other workings section below for HES data on admissions for asthma ( 19.5% calculation above and average bed days)</t>
  </si>
  <si>
    <t xml:space="preserve">MART reduced severe exacerbations by 21% and hospital or emergency admissions by 37% in mild asthma compared with maintenance ICS +SABA (when required). Reduction assumed 21% x 37% (prudent estimate; 37% of 21% exacerbations in mild asthma lead to A&amp;E attendance)= 7.77%. This is taken from 100% to give the percentage drop from 100% to 92.23% (100%-7.77%)  in year one with future years continuing to reduce by this percentage year on year  from increased MART use.  </t>
  </si>
  <si>
    <t>Assumption, this is applies to A&amp;E attendances NOT resulting in admission (assumed for mild asthma with uncontrolled symptoms =35% - see workings below). Please review and amend locally in table above.</t>
  </si>
  <si>
    <t>Used to estimate proportion of people with uncontrolled mild asthma attending A&amp;E each year.</t>
  </si>
  <si>
    <t>People who have uncontrolled asthma (see inputs and eligible population sheet)</t>
  </si>
  <si>
    <t>People switched to MART - reduction in hospital admissions (enter locally)</t>
  </si>
  <si>
    <t xml:space="preserve">Evidence review (HE) </t>
  </si>
  <si>
    <t>Emergency hospital admissions avoided - uncontrolled mild asthma (from increased uptake of MART) (compared with ICS+SABA when required)</t>
  </si>
  <si>
    <t>Asthma: diagnosis, monitoring and chronic asthma management (BTS,NICE,SIGN)</t>
  </si>
  <si>
    <t>Scotland AfC</t>
  </si>
  <si>
    <t>GP Earnings and Expenses Estimates, 2022/23 - NHS England Digital</t>
  </si>
  <si>
    <t>Pay and conditions for NHS staff covered by the Agenda for Change agreement</t>
  </si>
  <si>
    <t>Item-10i-AOCB-PCSDD2024-01-Medical-Dental-Pay-2024-25.pdf</t>
  </si>
  <si>
    <t>General Practice - disease prevalence visualisation 27 June 2023 - General practice - disease prevalence data visualisation - Publications - Public Health Scotland</t>
  </si>
  <si>
    <t>General practice disease prevalence data visualisation 28 June 2022 - General practice - disease prevalence data visualisation - Publications - Public Health Scotland</t>
  </si>
  <si>
    <r>
      <rPr>
        <sz val="11"/>
        <rFont val="Calibri"/>
        <family val="2"/>
      </rPr>
      <t>Table 2</t>
    </r>
    <r>
      <rPr>
        <u/>
        <sz val="11"/>
        <color theme="10"/>
        <rFont val="Calibri"/>
        <family val="2"/>
      </rPr>
      <t xml:space="preserve">
The epidemiology, healthcare and societal burden and costs of asthma in the UK and its member nations: analyses of standalone and linked national databases | BMC Medicine | Full Text (biomedcentral.com)</t>
    </r>
  </si>
  <si>
    <t>-Population Estimates, Scotland: mid-2023</t>
  </si>
  <si>
    <t>https://www.nrscotland.gov.uk/statistics-and-data/statistics/statistics-by-theme/population/population-estimates/mid-year-population-estimates/mid-2023</t>
  </si>
  <si>
    <t>The sources above are used to show the following organisation types: national, Scotland - Health Board, Scotland - Council Area.</t>
  </si>
  <si>
    <t>-National population growth: Scotland mid-2023.</t>
  </si>
  <si>
    <t>https://www.nrscotland.gov.uk/news/2024/scotlands-population-grows#:~:text=NRS%20Mid%2DYear%20Population%20Estimates,one%20year%20since%201946%2D1947.</t>
  </si>
  <si>
    <t>Population data notes (Scotland)</t>
  </si>
  <si>
    <t>Please select pay scale required from Scotlamd AfC, Non HCAS, HCAS inner, HCAS outer, HCAS fringe</t>
  </si>
  <si>
    <t>Incidence of asthma</t>
  </si>
  <si>
    <t>NG245 &amp; SIGN 245</t>
  </si>
  <si>
    <t>Published: 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</si>
</sst>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quot;£&quot;#,##0"/>
    <numFmt numFmtId="8" formatCode="&quot;£&quot;#,##0.00;[Red]\-&quot;£&quot;#,##0.00"/>
    <numFmt numFmtId="43" formatCode="_-* #,##0.00_-;\-* #,##0.00_-;_-* &quot;-&quot;??_-;_-@_-"/>
    <numFmt numFmtId="164" formatCode="&quot;£&quot;#,##0.00"/>
    <numFmt numFmtId="165" formatCode="&quot;£&quot;#,##0"/>
    <numFmt numFmtId="166" formatCode="_-* #,##0_-;\-* #,##0_-;_-* &quot;-&quot;??_-;_-@_-"/>
    <numFmt numFmtId="167" formatCode="_(* #,##0.00_);_(* \(#,##0.00\);_(* &quot;-&quot;??_);_(@_)"/>
    <numFmt numFmtId="168" formatCode="_-&quot;£&quot;* #,##0_-;\-&quot;£&quot;* #,##0_-;_-&quot;£&quot;* &quot;-&quot;??_-;_-@_-"/>
    <numFmt numFmtId="169" formatCode="0.0"/>
    <numFmt numFmtId="170" formatCode="_(* #,##0_);_(* \(#,##0\);_(* &quot;-&quot;??_);_(@_)"/>
    <numFmt numFmtId="171" formatCode="0.000%"/>
    <numFmt numFmtId="172" formatCode="0.00000%"/>
    <numFmt numFmtId="173" formatCode="0.00000000000000%"/>
    <numFmt numFmtId="174" formatCode="0.0000000%"/>
    <numFmt numFmtId="175" formatCode="0.000"/>
    <numFmt numFmtId="176" formatCode="#,##0.0"/>
    <numFmt numFmtId="177" formatCode="###,###,###"/>
    <numFmt numFmtId="178" formatCode="#,##0.0%"/>
    <numFmt numFmtId="179" formatCode="0.0%"/>
    <numFmt numFmtId="180" formatCode="0.000000%"/>
    <numFmt numFmtId="181" formatCode="0.0000%"/>
  </numFmts>
  <fonts count="91" x14ac:knownFonts="1">
    <font>
      <sz val="11"/>
      <color theme="1"/>
      <name val="Calibri"/>
      <family val="2"/>
      <scheme val="minor"/>
    </font>
    <font>
      <sz val="11"/>
      <color indexed="8"/>
      <name val="Calibri"/>
      <family val="2"/>
    </font>
    <font>
      <sz val="10"/>
      <name val="Arial"/>
      <family val="2"/>
    </font>
    <font>
      <u/>
      <sz val="10"/>
      <color indexed="12"/>
      <name val="Arial"/>
      <family val="2"/>
    </font>
    <font>
      <b/>
      <sz val="12"/>
      <name val="Arial"/>
      <family val="2"/>
    </font>
    <font>
      <sz val="12"/>
      <name val="Arial"/>
      <family val="2"/>
    </font>
    <font>
      <sz val="11"/>
      <name val="Arial"/>
      <family val="2"/>
    </font>
    <font>
      <b/>
      <sz val="11"/>
      <name val="Arial"/>
      <family val="2"/>
    </font>
    <font>
      <sz val="8"/>
      <name val="Arial"/>
      <family val="2"/>
    </font>
    <font>
      <sz val="8"/>
      <name val="Courier"/>
      <family val="3"/>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sz val="11"/>
      <color theme="1"/>
      <name val="Calibri"/>
      <family val="2"/>
      <scheme val="minor"/>
    </font>
    <font>
      <u/>
      <sz val="11"/>
      <color theme="10"/>
      <name val="Calibri"/>
      <family val="2"/>
    </font>
    <font>
      <sz val="11"/>
      <color theme="1"/>
      <name val="Arial"/>
      <family val="2"/>
    </font>
    <font>
      <i/>
      <u/>
      <sz val="11"/>
      <color theme="10"/>
      <name val="Arial"/>
      <family val="2"/>
    </font>
    <font>
      <b/>
      <u/>
      <sz val="11"/>
      <color theme="1"/>
      <name val="Arial"/>
      <family val="2"/>
    </font>
    <font>
      <b/>
      <sz val="11"/>
      <color theme="1"/>
      <name val="Arial"/>
      <family val="2"/>
    </font>
    <font>
      <sz val="10"/>
      <color theme="1"/>
      <name val="Arial"/>
      <family val="2"/>
    </font>
    <font>
      <sz val="10"/>
      <name val="MS Sans Serif"/>
      <family val="2"/>
    </font>
    <font>
      <u/>
      <sz val="10"/>
      <color indexed="12"/>
      <name val="MS Sans Serif"/>
      <family val="2"/>
    </font>
    <font>
      <sz val="11"/>
      <color rgb="FF000000"/>
      <name val="Calibri"/>
      <family val="2"/>
    </font>
    <font>
      <b/>
      <u/>
      <sz val="11"/>
      <color rgb="FFFF0000"/>
      <name val="Arial"/>
      <family val="2"/>
    </font>
    <font>
      <sz val="11"/>
      <color rgb="FFFF0000"/>
      <name val="Arial"/>
      <family val="2"/>
    </font>
    <font>
      <sz val="11"/>
      <color theme="0"/>
      <name val="Calibri"/>
      <family val="2"/>
      <scheme val="minor"/>
    </font>
    <font>
      <b/>
      <sz val="16"/>
      <color theme="0"/>
      <name val="Arial"/>
      <family val="2"/>
    </font>
    <font>
      <sz val="16"/>
      <color theme="0"/>
      <name val="Calibri"/>
      <family val="2"/>
      <scheme val="minor"/>
    </font>
    <font>
      <sz val="11"/>
      <color theme="0"/>
      <name val="Arial"/>
      <family val="2"/>
    </font>
    <font>
      <sz val="8"/>
      <name val="Calibri"/>
      <family val="2"/>
      <scheme val="minor"/>
    </font>
    <font>
      <b/>
      <sz val="11"/>
      <color theme="1"/>
      <name val="Calibri"/>
      <family val="2"/>
      <scheme val="minor"/>
    </font>
    <font>
      <sz val="10"/>
      <color theme="0"/>
      <name val="Arial"/>
      <family val="2"/>
    </font>
    <font>
      <sz val="11"/>
      <name val="Calibri"/>
      <family val="2"/>
      <scheme val="minor"/>
    </font>
    <font>
      <b/>
      <sz val="11"/>
      <color rgb="FFFF0000"/>
      <name val="Arial"/>
      <family val="2"/>
    </font>
    <font>
      <b/>
      <sz val="11"/>
      <name val="Calibri"/>
      <family val="2"/>
      <scheme val="minor"/>
    </font>
    <font>
      <sz val="11"/>
      <color theme="1"/>
      <name val="Calibri"/>
      <family val="2"/>
    </font>
    <font>
      <i/>
      <sz val="11"/>
      <color rgb="FFFF0000"/>
      <name val="Calibri"/>
      <family val="2"/>
      <scheme val="minor"/>
    </font>
    <font>
      <sz val="24"/>
      <color theme="0"/>
      <name val="Calibri"/>
      <family val="2"/>
      <scheme val="minor"/>
    </font>
    <font>
      <b/>
      <sz val="20"/>
      <color theme="1"/>
      <name val="Calibri"/>
      <family val="2"/>
      <scheme val="minor"/>
    </font>
    <font>
      <b/>
      <sz val="24"/>
      <color theme="1"/>
      <name val="Calibri"/>
      <family val="2"/>
      <scheme val="minor"/>
    </font>
    <font>
      <sz val="24"/>
      <color theme="1"/>
      <name val="Calibri"/>
      <family val="2"/>
      <scheme val="minor"/>
    </font>
    <font>
      <u/>
      <sz val="11"/>
      <color theme="10"/>
      <name val="Calibri"/>
      <family val="2"/>
      <scheme val="minor"/>
    </font>
    <font>
      <u/>
      <sz val="11"/>
      <color theme="1"/>
      <name val="Calibri"/>
      <family val="2"/>
      <scheme val="minor"/>
    </font>
    <font>
      <sz val="11"/>
      <name val="Calibri"/>
      <family val="2"/>
    </font>
    <font>
      <b/>
      <sz val="11"/>
      <color theme="0"/>
      <name val="Calibri"/>
      <family val="2"/>
      <scheme val="minor"/>
    </font>
    <font>
      <b/>
      <sz val="11"/>
      <color rgb="FFFF0000"/>
      <name val="Calibri"/>
      <family val="2"/>
      <scheme val="minor"/>
    </font>
    <font>
      <b/>
      <sz val="24"/>
      <color rgb="FF000000"/>
      <name val="Calibri"/>
      <family val="2"/>
      <scheme val="minor"/>
    </font>
    <font>
      <sz val="11"/>
      <color rgb="FFFF0000"/>
      <name val="Calibri"/>
      <family val="2"/>
      <scheme val="minor"/>
    </font>
    <font>
      <b/>
      <sz val="11"/>
      <color indexed="8"/>
      <name val="Calibri"/>
      <family val="2"/>
      <scheme val="minor"/>
    </font>
    <font>
      <sz val="11"/>
      <color indexed="8"/>
      <name val="Calibri"/>
      <family val="2"/>
      <scheme val="minor"/>
    </font>
    <font>
      <b/>
      <sz val="12"/>
      <color theme="1"/>
      <name val="Calibri"/>
      <family val="2"/>
      <scheme val="minor"/>
    </font>
    <font>
      <b/>
      <sz val="12"/>
      <color theme="0"/>
      <name val="Calibri"/>
      <family val="2"/>
      <scheme val="minor"/>
    </font>
    <font>
      <b/>
      <sz val="20"/>
      <color theme="0"/>
      <name val="Calibri"/>
      <family val="2"/>
      <scheme val="minor"/>
    </font>
    <font>
      <b/>
      <u/>
      <sz val="11"/>
      <name val="Calibri"/>
      <family val="2"/>
      <scheme val="minor"/>
    </font>
    <font>
      <sz val="7"/>
      <color theme="1"/>
      <name val="Segoe UI"/>
      <family val="2"/>
    </font>
    <font>
      <b/>
      <u/>
      <sz val="11"/>
      <color theme="1"/>
      <name val="Calibri"/>
      <family val="2"/>
      <scheme val="minor"/>
    </font>
    <font>
      <sz val="9"/>
      <color theme="1"/>
      <name val="Courier New"/>
      <family val="3"/>
    </font>
    <font>
      <b/>
      <sz val="10"/>
      <name val="Arial"/>
      <family val="2"/>
    </font>
    <font>
      <b/>
      <sz val="11"/>
      <color theme="1"/>
      <name val="Calibri"/>
      <family val="2"/>
    </font>
    <font>
      <sz val="10"/>
      <color rgb="FF000000"/>
      <name val="Arial"/>
      <family val="2"/>
    </font>
    <font>
      <vertAlign val="superscript"/>
      <sz val="10"/>
      <color rgb="FF000000"/>
      <name val="Arial"/>
      <family val="2"/>
    </font>
    <font>
      <sz val="12"/>
      <color theme="1"/>
      <name val="Arial"/>
      <family val="2"/>
    </font>
    <font>
      <b/>
      <sz val="10"/>
      <color rgb="FF000000"/>
      <name val="Arial"/>
      <family val="2"/>
    </font>
    <font>
      <sz val="10"/>
      <color indexed="8"/>
      <name val="Arial"/>
      <family val="2"/>
    </font>
    <font>
      <b/>
      <sz val="11"/>
      <name val="Calibri"/>
      <family val="2"/>
    </font>
    <font>
      <b/>
      <sz val="14"/>
      <name val="Arial"/>
      <family val="2"/>
    </font>
    <font>
      <b/>
      <sz val="10"/>
      <color indexed="8"/>
      <name val="Arial"/>
      <family val="2"/>
    </font>
    <font>
      <sz val="11"/>
      <color rgb="FF000000"/>
      <name val="Aptos"/>
      <family val="2"/>
    </font>
    <font>
      <sz val="12"/>
      <name val="Calibri"/>
      <family val="2"/>
      <scheme val="minor"/>
    </font>
    <font>
      <u/>
      <sz val="11"/>
      <name val="Calibri"/>
      <family val="2"/>
      <scheme val="minor"/>
    </font>
    <font>
      <sz val="11"/>
      <name val="Arial"/>
      <family val="2"/>
    </font>
    <font>
      <sz val="9"/>
      <color rgb="FF242424"/>
      <name val="Segoe UI"/>
      <family val="2"/>
    </font>
    <font>
      <b/>
      <sz val="9"/>
      <color rgb="FF000000"/>
      <name val="Arial"/>
      <family val="2"/>
    </font>
    <font>
      <sz val="9"/>
      <color rgb="FF000000"/>
      <name val="Arial"/>
      <family val="2"/>
    </font>
    <font>
      <b/>
      <sz val="11"/>
      <color theme="1"/>
      <name val="Aptos Narrow"/>
      <family val="2"/>
    </font>
    <font>
      <b/>
      <sz val="11"/>
      <name val="Aptos Narrow"/>
      <family val="2"/>
    </font>
    <font>
      <u/>
      <sz val="11"/>
      <name val="Arial"/>
      <family val="2"/>
    </font>
  </fonts>
  <fills count="4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2" tint="-0.249977111117893"/>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8" tint="-0.499984740745262"/>
        <bgColor indexed="64"/>
      </patternFill>
    </fill>
    <fill>
      <patternFill patternType="solid">
        <fgColor rgb="FF18646E"/>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92D050"/>
        <bgColor indexed="64"/>
      </patternFill>
    </fill>
    <fill>
      <patternFill patternType="solid">
        <fgColor rgb="FFFFFF66"/>
        <bgColor indexed="64"/>
      </patternFill>
    </fill>
    <fill>
      <patternFill patternType="solid">
        <fgColor rgb="FFE6E6E6"/>
        <bgColor indexed="64"/>
      </patternFill>
    </fill>
    <fill>
      <patternFill patternType="solid">
        <fgColor theme="5" tint="0.79998168889431442"/>
        <bgColor indexed="64"/>
      </patternFill>
    </fill>
    <fill>
      <patternFill patternType="solid">
        <fgColor rgb="FFDAEEF3"/>
        <bgColor rgb="FF000000"/>
      </patternFill>
    </fill>
  </fills>
  <borders count="10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top/>
      <bottom style="medium">
        <color indexed="30"/>
      </bottom>
      <diagonal/>
    </border>
    <border>
      <left style="thin">
        <color auto="1"/>
      </left>
      <right style="medium">
        <color auto="1"/>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theme="1"/>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right/>
      <top/>
      <bottom style="thin">
        <color rgb="FF000000"/>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medium">
        <color rgb="FFFFFFFF"/>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indexed="64"/>
      </bottom>
      <diagonal/>
    </border>
    <border>
      <left/>
      <right/>
      <top style="medium">
        <color rgb="FFFFFFFF"/>
      </top>
      <bottom style="medium">
        <color indexed="64"/>
      </bottom>
      <diagonal/>
    </border>
    <border>
      <left/>
      <right style="medium">
        <color rgb="FFFFFFFF"/>
      </right>
      <top/>
      <bottom style="medium">
        <color rgb="FFFFFFFF"/>
      </bottom>
      <diagonal/>
    </border>
    <border>
      <left/>
      <right/>
      <top/>
      <bottom style="medium">
        <color rgb="FFFFFFFF"/>
      </bottom>
      <diagonal/>
    </border>
    <border>
      <left/>
      <right style="thin">
        <color auto="1"/>
      </right>
      <top style="thin">
        <color auto="1"/>
      </top>
      <bottom style="thin">
        <color auto="1"/>
      </bottom>
      <diagonal/>
    </border>
    <border>
      <left style="medium">
        <color rgb="FF000000"/>
      </left>
      <right style="medium">
        <color rgb="FF000000"/>
      </right>
      <top style="dotted">
        <color rgb="FF000000"/>
      </top>
      <bottom/>
      <diagonal/>
    </border>
    <border>
      <left style="medium">
        <color rgb="FF000000"/>
      </left>
      <right/>
      <top style="dotted">
        <color rgb="FF000000"/>
      </top>
      <bottom style="dotted">
        <color rgb="FF000000"/>
      </bottom>
      <diagonal/>
    </border>
    <border>
      <left/>
      <right/>
      <top style="dotted">
        <color rgb="FF000000"/>
      </top>
      <bottom style="dotted">
        <color rgb="FF000000"/>
      </bottom>
      <diagonal/>
    </border>
    <border>
      <left style="dotted">
        <color rgb="FF000000"/>
      </left>
      <right style="dotted">
        <color rgb="FF000000"/>
      </right>
      <top style="dotted">
        <color rgb="FF000000"/>
      </top>
      <bottom/>
      <diagonal/>
    </border>
    <border>
      <left style="dotted">
        <color rgb="FF000000"/>
      </left>
      <right/>
      <top style="dotted">
        <color rgb="FF000000"/>
      </top>
      <bottom/>
      <diagonal/>
    </border>
    <border>
      <left/>
      <right style="dotted">
        <color rgb="FF000000"/>
      </right>
      <top style="dotted">
        <color rgb="FF000000"/>
      </top>
      <bottom style="dotted">
        <color rgb="FF000000"/>
      </bottom>
      <diagonal/>
    </border>
    <border>
      <left style="medium">
        <color rgb="FF000000"/>
      </left>
      <right/>
      <top style="dotted">
        <color rgb="FF000000"/>
      </top>
      <bottom/>
      <diagonal/>
    </border>
    <border>
      <left/>
      <right/>
      <top style="dotted">
        <color rgb="FF000000"/>
      </top>
      <bottom/>
      <diagonal/>
    </border>
    <border>
      <left/>
      <right style="dotted">
        <color rgb="FF000000"/>
      </right>
      <top style="dotted">
        <color rgb="FF000000"/>
      </top>
      <bottom/>
      <diagonal/>
    </border>
    <border>
      <left style="dotted">
        <color rgb="FF000000"/>
      </left>
      <right style="dotted">
        <color rgb="FF000000"/>
      </right>
      <top style="medium">
        <color rgb="FF000000"/>
      </top>
      <bottom style="medium">
        <color rgb="FF000000"/>
      </bottom>
      <diagonal/>
    </border>
    <border>
      <left style="dotted">
        <color rgb="FF000000"/>
      </left>
      <right/>
      <top style="medium">
        <color rgb="FF000000"/>
      </top>
      <bottom style="medium">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style="thin">
        <color rgb="FF000000"/>
      </right>
      <top style="thin">
        <color rgb="FF000000"/>
      </top>
      <bottom/>
      <diagonal/>
    </border>
    <border>
      <left/>
      <right style="thin">
        <color auto="1"/>
      </right>
      <top/>
      <bottom style="thin">
        <color rgb="FF000000"/>
      </bottom>
      <diagonal/>
    </border>
    <border>
      <left/>
      <right style="thin">
        <color auto="1"/>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rgb="FF000000"/>
      </left>
      <right/>
      <top/>
      <bottom style="thin">
        <color rgb="FF000000"/>
      </bottom>
      <diagonal/>
    </border>
    <border>
      <left/>
      <right/>
      <top style="thin">
        <color indexed="64"/>
      </top>
      <bottom/>
      <diagonal/>
    </border>
    <border>
      <left/>
      <right style="thin">
        <color indexed="64"/>
      </right>
      <top style="thin">
        <color indexed="64"/>
      </top>
      <bottom/>
      <diagonal/>
    </border>
    <border>
      <left/>
      <right style="thin">
        <color indexed="64"/>
      </right>
      <top style="medium">
        <color indexed="64"/>
      </top>
      <bottom/>
      <diagonal/>
    </border>
    <border>
      <left/>
      <right style="dotted">
        <color rgb="FF000000"/>
      </right>
      <top style="medium">
        <color rgb="FF000000"/>
      </top>
      <bottom/>
      <diagonal/>
    </border>
    <border>
      <left/>
      <right/>
      <top style="medium">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style="medium">
        <color indexed="64"/>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thin">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auto="1"/>
      </left>
      <right style="thin">
        <color rgb="FF000000"/>
      </right>
      <top style="thin">
        <color rgb="FF000000"/>
      </top>
      <bottom style="thin">
        <color auto="1"/>
      </bottom>
      <diagonal/>
    </border>
  </borders>
  <cellStyleXfs count="112">
    <xf numFmtId="0" fontId="0" fillId="0" borderId="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8" fillId="0" borderId="0"/>
    <xf numFmtId="0" fontId="11" fillId="3" borderId="0" applyNumberFormat="0" applyBorder="0" applyAlignment="0" applyProtection="0"/>
    <xf numFmtId="0" fontId="11" fillId="3" borderId="0" applyNumberFormat="0" applyBorder="0" applyAlignment="0" applyProtection="0"/>
    <xf numFmtId="0" fontId="12" fillId="20" borderId="1" applyNumberFormat="0" applyAlignment="0" applyProtection="0"/>
    <xf numFmtId="0" fontId="12" fillId="20" borderId="1" applyNumberFormat="0" applyAlignment="0" applyProtection="0"/>
    <xf numFmtId="0" fontId="13" fillId="21" borderId="2" applyNumberFormat="0" applyAlignment="0" applyProtection="0"/>
    <xf numFmtId="0" fontId="13" fillId="21" borderId="2" applyNumberFormat="0" applyAlignment="0" applyProtection="0"/>
    <xf numFmtId="43" fontId="2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7" fontId="27" fillId="0" borderId="0" applyFon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5" fillId="4" borderId="0" applyNumberFormat="0" applyBorder="0" applyAlignment="0" applyProtection="0"/>
    <xf numFmtId="0" fontId="15" fillId="4" borderId="0" applyNumberFormat="0" applyBorder="0" applyAlignment="0" applyProtection="0"/>
    <xf numFmtId="0" fontId="16" fillId="0" borderId="3" applyNumberFormat="0" applyFill="0" applyAlignment="0" applyProtection="0"/>
    <xf numFmtId="0" fontId="16" fillId="0" borderId="3" applyNumberFormat="0" applyFill="0" applyAlignment="0" applyProtection="0"/>
    <xf numFmtId="0" fontId="17" fillId="0" borderId="4" applyNumberFormat="0" applyFill="0" applyAlignment="0" applyProtection="0"/>
    <xf numFmtId="0" fontId="17" fillId="0" borderId="4" applyNumberFormat="0" applyFill="0" applyAlignment="0" applyProtection="0"/>
    <xf numFmtId="0" fontId="18" fillId="0" borderId="5" applyNumberFormat="0" applyFill="0" applyAlignment="0" applyProtection="0"/>
    <xf numFmtId="0" fontId="18" fillId="0" borderId="5"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8"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19" fillId="7" borderId="1" applyNumberFormat="0" applyAlignment="0" applyProtection="0"/>
    <xf numFmtId="0" fontId="19" fillId="7" borderId="1" applyNumberFormat="0" applyAlignment="0" applyProtection="0"/>
    <xf numFmtId="0" fontId="20" fillId="0" borderId="6" applyNumberFormat="0" applyFill="0" applyAlignment="0" applyProtection="0"/>
    <xf numFmtId="0" fontId="20" fillId="0" borderId="6" applyNumberFormat="0" applyFill="0" applyAlignment="0" applyProtection="0"/>
    <xf numFmtId="0" fontId="21" fillId="22" borderId="0" applyNumberFormat="0" applyBorder="0" applyAlignment="0" applyProtection="0"/>
    <xf numFmtId="0" fontId="21" fillId="22" borderId="0" applyNumberFormat="0" applyBorder="0" applyAlignment="0" applyProtection="0"/>
    <xf numFmtId="0" fontId="2" fillId="0" borderId="0"/>
    <xf numFmtId="0" fontId="2" fillId="0" borderId="0"/>
    <xf numFmtId="0" fontId="2" fillId="0" borderId="0"/>
    <xf numFmtId="0" fontId="2" fillId="0" borderId="0"/>
    <xf numFmtId="0" fontId="26" fillId="0" borderId="0"/>
    <xf numFmtId="0" fontId="9" fillId="0" borderId="0"/>
    <xf numFmtId="0" fontId="1" fillId="23" borderId="7" applyNumberFormat="0" applyFont="0" applyAlignment="0" applyProtection="0"/>
    <xf numFmtId="0" fontId="1" fillId="23" borderId="7" applyNumberFormat="0" applyFont="0" applyAlignment="0" applyProtection="0"/>
    <xf numFmtId="0" fontId="22" fillId="20" borderId="8" applyNumberFormat="0" applyAlignment="0" applyProtection="0"/>
    <xf numFmtId="0" fontId="22" fillId="20" borderId="8" applyNumberFormat="0" applyAlignment="0" applyProtection="0"/>
    <xf numFmtId="9" fontId="2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0" borderId="9" applyNumberFormat="0" applyFill="0" applyAlignment="0" applyProtection="0"/>
    <xf numFmtId="0" fontId="24" fillId="0" borderId="9"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 fillId="0" borderId="0"/>
    <xf numFmtId="0" fontId="35" fillId="0" borderId="0" applyNumberFormat="0" applyFill="0" applyBorder="0" applyAlignment="0" applyProtection="0"/>
    <xf numFmtId="0" fontId="28" fillId="0" borderId="0" applyNumberFormat="0" applyFill="0" applyBorder="0" applyAlignment="0" applyProtection="0">
      <alignment vertical="top"/>
      <protection locked="0"/>
    </xf>
    <xf numFmtId="0" fontId="5" fillId="0" borderId="0"/>
    <xf numFmtId="0" fontId="34" fillId="0" borderId="0"/>
    <xf numFmtId="0" fontId="36" fillId="0" borderId="0"/>
    <xf numFmtId="0" fontId="18" fillId="0" borderId="21" applyNumberFormat="0" applyFill="0" applyAlignment="0" applyProtection="0"/>
    <xf numFmtId="0" fontId="18" fillId="0" borderId="21" applyNumberFormat="0" applyFill="0" applyAlignment="0" applyProtection="0"/>
    <xf numFmtId="0" fontId="27" fillId="0" borderId="0"/>
    <xf numFmtId="0" fontId="2" fillId="0" borderId="0"/>
    <xf numFmtId="175" fontId="70" fillId="44" borderId="45">
      <alignment horizontal="center" vertical="center"/>
      <protection locked="0"/>
    </xf>
  </cellStyleXfs>
  <cellXfs count="1033">
    <xf numFmtId="0" fontId="0" fillId="0" borderId="0" xfId="0"/>
    <xf numFmtId="0" fontId="29" fillId="0" borderId="0" xfId="0" applyFont="1"/>
    <xf numFmtId="0" fontId="29" fillId="0" borderId="0" xfId="0" applyFont="1" applyAlignment="1">
      <alignment wrapText="1"/>
    </xf>
    <xf numFmtId="0" fontId="2" fillId="24" borderId="0" xfId="82" applyFill="1"/>
    <xf numFmtId="0" fontId="6" fillId="24" borderId="0" xfId="82" applyFont="1" applyFill="1"/>
    <xf numFmtId="0" fontId="6" fillId="0" borderId="0" xfId="82" applyFont="1"/>
    <xf numFmtId="0" fontId="29" fillId="24" borderId="0" xfId="0" applyFont="1" applyFill="1"/>
    <xf numFmtId="0" fontId="29" fillId="26" borderId="0" xfId="0" applyFont="1" applyFill="1"/>
    <xf numFmtId="0" fontId="32" fillId="0" borderId="0" xfId="0" applyFont="1"/>
    <xf numFmtId="0" fontId="31" fillId="29" borderId="0" xfId="0" applyFont="1" applyFill="1"/>
    <xf numFmtId="0" fontId="32" fillId="26" borderId="0" xfId="0" applyFont="1" applyFill="1" applyAlignment="1">
      <alignment horizontal="left"/>
    </xf>
    <xf numFmtId="0" fontId="29" fillId="29" borderId="0" xfId="0" applyFont="1" applyFill="1"/>
    <xf numFmtId="0" fontId="29" fillId="29" borderId="0" xfId="0" applyFont="1" applyFill="1" applyAlignment="1">
      <alignment horizontal="center"/>
    </xf>
    <xf numFmtId="0" fontId="29" fillId="0" borderId="0" xfId="0" applyFont="1" applyAlignment="1">
      <alignment horizontal="center"/>
    </xf>
    <xf numFmtId="0" fontId="30" fillId="29" borderId="0" xfId="72" applyFont="1" applyFill="1" applyAlignment="1" applyProtection="1"/>
    <xf numFmtId="0" fontId="29" fillId="29" borderId="0" xfId="0" applyFont="1" applyFill="1" applyAlignment="1">
      <alignment horizontal="left"/>
    </xf>
    <xf numFmtId="0" fontId="29" fillId="29" borderId="0" xfId="0" applyFont="1" applyFill="1" applyAlignment="1">
      <alignment horizontal="center" wrapText="1"/>
    </xf>
    <xf numFmtId="0" fontId="29" fillId="0" borderId="0" xfId="0" applyFont="1" applyAlignment="1">
      <alignment horizontal="center" wrapText="1"/>
    </xf>
    <xf numFmtId="0" fontId="29" fillId="29" borderId="0" xfId="0" applyFont="1" applyFill="1" applyAlignment="1">
      <alignment wrapText="1"/>
    </xf>
    <xf numFmtId="0" fontId="32" fillId="29" borderId="0" xfId="0" applyFont="1" applyFill="1"/>
    <xf numFmtId="0" fontId="32" fillId="29" borderId="0" xfId="0" applyFont="1" applyFill="1" applyAlignment="1">
      <alignment horizontal="center"/>
    </xf>
    <xf numFmtId="3" fontId="29" fillId="29" borderId="0" xfId="0" applyNumberFormat="1" applyFont="1" applyFill="1"/>
    <xf numFmtId="3" fontId="7" fillId="0" borderId="11" xfId="0" applyNumberFormat="1" applyFont="1" applyBorder="1" applyAlignment="1">
      <alignment horizontal="right"/>
    </xf>
    <xf numFmtId="3" fontId="7" fillId="0" borderId="16" xfId="0" applyNumberFormat="1" applyFont="1" applyBorder="1" applyAlignment="1">
      <alignment horizontal="right"/>
    </xf>
    <xf numFmtId="0" fontId="6" fillId="0" borderId="13" xfId="0" applyFont="1" applyBorder="1"/>
    <xf numFmtId="0" fontId="6" fillId="0" borderId="15" xfId="0" applyFont="1" applyBorder="1"/>
    <xf numFmtId="0" fontId="6" fillId="0" borderId="17" xfId="0" applyFont="1" applyBorder="1"/>
    <xf numFmtId="0" fontId="29" fillId="0" borderId="10" xfId="0" applyFont="1" applyBorder="1"/>
    <xf numFmtId="0" fontId="29" fillId="0" borderId="17" xfId="0" applyFont="1" applyBorder="1"/>
    <xf numFmtId="3" fontId="29" fillId="0" borderId="10" xfId="0" applyNumberFormat="1" applyFont="1" applyBorder="1"/>
    <xf numFmtId="3" fontId="29" fillId="0" borderId="17" xfId="0" applyNumberFormat="1" applyFont="1" applyBorder="1"/>
    <xf numFmtId="3" fontId="6" fillId="0" borderId="0" xfId="0" applyNumberFormat="1" applyFont="1"/>
    <xf numFmtId="3" fontId="6" fillId="0" borderId="14" xfId="0" applyNumberFormat="1" applyFont="1" applyBorder="1"/>
    <xf numFmtId="3" fontId="29" fillId="0" borderId="0" xfId="0" applyNumberFormat="1" applyFont="1"/>
    <xf numFmtId="3" fontId="29" fillId="0" borderId="14" xfId="0" applyNumberFormat="1" applyFont="1" applyBorder="1"/>
    <xf numFmtId="0" fontId="29" fillId="0" borderId="15" xfId="0" applyFont="1" applyBorder="1"/>
    <xf numFmtId="3" fontId="32" fillId="0" borderId="16" xfId="0" applyNumberFormat="1" applyFont="1" applyBorder="1" applyAlignment="1">
      <alignment horizontal="right"/>
    </xf>
    <xf numFmtId="0" fontId="32" fillId="0" borderId="0" xfId="0" applyFont="1" applyAlignment="1">
      <alignment horizontal="right"/>
    </xf>
    <xf numFmtId="3" fontId="6" fillId="0" borderId="13" xfId="0" applyNumberFormat="1" applyFont="1" applyBorder="1"/>
    <xf numFmtId="3" fontId="6" fillId="0" borderId="0" xfId="82" applyNumberFormat="1" applyFont="1"/>
    <xf numFmtId="3" fontId="6" fillId="0" borderId="14" xfId="82" applyNumberFormat="1" applyFont="1" applyBorder="1"/>
    <xf numFmtId="0" fontId="29" fillId="34" borderId="13" xfId="0" applyFont="1" applyFill="1" applyBorder="1"/>
    <xf numFmtId="0" fontId="29" fillId="0" borderId="14" xfId="0" applyFont="1" applyBorder="1"/>
    <xf numFmtId="3" fontId="38" fillId="29" borderId="0" xfId="0" applyNumberFormat="1" applyFont="1" applyFill="1"/>
    <xf numFmtId="0" fontId="38" fillId="29" borderId="0" xfId="0" applyFont="1" applyFill="1" applyAlignment="1">
      <alignment horizontal="left" vertical="top" wrapText="1"/>
    </xf>
    <xf numFmtId="0" fontId="29" fillId="26" borderId="12" xfId="0" applyFont="1" applyFill="1" applyBorder="1"/>
    <xf numFmtId="0" fontId="29" fillId="26" borderId="0" xfId="0" applyFont="1" applyFill="1" applyAlignment="1">
      <alignment horizontal="left"/>
    </xf>
    <xf numFmtId="0" fontId="29" fillId="26" borderId="14" xfId="0" applyFont="1" applyFill="1" applyBorder="1"/>
    <xf numFmtId="0" fontId="29" fillId="26" borderId="12" xfId="0" quotePrefix="1" applyFont="1" applyFill="1" applyBorder="1"/>
    <xf numFmtId="0" fontId="29" fillId="26" borderId="18" xfId="0" quotePrefix="1" applyFont="1" applyFill="1" applyBorder="1"/>
    <xf numFmtId="0" fontId="29" fillId="26" borderId="10" xfId="0" applyFont="1" applyFill="1" applyBorder="1" applyAlignment="1">
      <alignment horizontal="left"/>
    </xf>
    <xf numFmtId="0" fontId="29" fillId="26" borderId="10" xfId="0" applyFont="1" applyFill="1" applyBorder="1"/>
    <xf numFmtId="0" fontId="29" fillId="26" borderId="17" xfId="0" applyFont="1" applyFill="1" applyBorder="1"/>
    <xf numFmtId="0" fontId="32" fillId="29" borderId="0" xfId="0" applyFont="1" applyFill="1" applyAlignment="1">
      <alignment horizontal="left"/>
    </xf>
    <xf numFmtId="3" fontId="29" fillId="0" borderId="12" xfId="0" applyNumberFormat="1" applyFont="1" applyBorder="1"/>
    <xf numFmtId="3" fontId="6" fillId="0" borderId="12" xfId="0" applyNumberFormat="1" applyFont="1" applyBorder="1"/>
    <xf numFmtId="0" fontId="29" fillId="31" borderId="12" xfId="0" applyFont="1" applyFill="1" applyBorder="1"/>
    <xf numFmtId="0" fontId="6" fillId="0" borderId="0" xfId="82" applyFont="1" applyAlignment="1">
      <alignment horizontal="left"/>
    </xf>
    <xf numFmtId="3" fontId="7" fillId="0" borderId="16" xfId="0" applyNumberFormat="1" applyFont="1" applyBorder="1"/>
    <xf numFmtId="0" fontId="7" fillId="0" borderId="0" xfId="0" applyFont="1"/>
    <xf numFmtId="0" fontId="40" fillId="0" borderId="0" xfId="0" applyFont="1" applyAlignment="1">
      <alignment vertical="center" wrapText="1"/>
    </xf>
    <xf numFmtId="0" fontId="40" fillId="0" borderId="0" xfId="0" applyFont="1" applyAlignment="1">
      <alignment vertical="center"/>
    </xf>
    <xf numFmtId="0" fontId="42" fillId="0" borderId="0" xfId="0" applyFont="1"/>
    <xf numFmtId="0" fontId="45" fillId="25" borderId="0" xfId="82" applyFont="1" applyFill="1"/>
    <xf numFmtId="0" fontId="45" fillId="0" borderId="0" xfId="82" applyFont="1"/>
    <xf numFmtId="0" fontId="39" fillId="0" borderId="0" xfId="0" applyFont="1"/>
    <xf numFmtId="43" fontId="29" fillId="29" borderId="0" xfId="0" applyNumberFormat="1" applyFont="1" applyFill="1"/>
    <xf numFmtId="0" fontId="6" fillId="0" borderId="0" xfId="0" applyFont="1"/>
    <xf numFmtId="0" fontId="0" fillId="0" borderId="0" xfId="0" applyAlignment="1">
      <alignment vertical="center"/>
    </xf>
    <xf numFmtId="3" fontId="38" fillId="29" borderId="0" xfId="0" applyNumberFormat="1" applyFont="1" applyFill="1" applyAlignment="1">
      <alignment horizontal="left" vertical="top" wrapText="1"/>
    </xf>
    <xf numFmtId="0" fontId="4" fillId="25" borderId="0" xfId="0" applyFont="1" applyFill="1" applyAlignment="1">
      <alignment vertical="center" wrapText="1"/>
    </xf>
    <xf numFmtId="0" fontId="41" fillId="0" borderId="12" xfId="0" applyFont="1" applyBorder="1"/>
    <xf numFmtId="0" fontId="41" fillId="0" borderId="0" xfId="0" applyFont="1"/>
    <xf numFmtId="0" fontId="44" fillId="0" borderId="0" xfId="0" applyFont="1"/>
    <xf numFmtId="0" fontId="0" fillId="0" borderId="0" xfId="0" applyAlignment="1">
      <alignment horizontal="right"/>
    </xf>
    <xf numFmtId="0" fontId="2" fillId="25" borderId="0" xfId="82" applyFill="1"/>
    <xf numFmtId="0" fontId="40" fillId="36" borderId="16" xfId="0" applyFont="1" applyFill="1" applyBorder="1" applyAlignment="1">
      <alignment horizontal="center" vertical="center"/>
    </xf>
    <xf numFmtId="0" fontId="40" fillId="36" borderId="16" xfId="0" applyFont="1" applyFill="1" applyBorder="1" applyAlignment="1">
      <alignment horizontal="left" vertical="center"/>
    </xf>
    <xf numFmtId="0" fontId="44" fillId="0" borderId="12" xfId="0" applyFont="1" applyBorder="1"/>
    <xf numFmtId="0" fontId="0" fillId="0" borderId="14" xfId="0" applyBorder="1"/>
    <xf numFmtId="0" fontId="0" fillId="0" borderId="12" xfId="0" applyBorder="1"/>
    <xf numFmtId="0" fontId="0" fillId="0" borderId="18" xfId="0" applyBorder="1"/>
    <xf numFmtId="0" fontId="0" fillId="0" borderId="10" xfId="0" applyBorder="1"/>
    <xf numFmtId="0" fontId="0" fillId="0" borderId="17" xfId="0" applyBorder="1"/>
    <xf numFmtId="0" fontId="0" fillId="0" borderId="10" xfId="0" applyBorder="1" applyAlignment="1">
      <alignment horizontal="right"/>
    </xf>
    <xf numFmtId="0" fontId="0" fillId="0" borderId="11" xfId="0" applyBorder="1" applyAlignment="1">
      <alignment wrapText="1"/>
    </xf>
    <xf numFmtId="0" fontId="31" fillId="29" borderId="0" xfId="0" applyFont="1" applyFill="1" applyAlignment="1">
      <alignment horizontal="center"/>
    </xf>
    <xf numFmtId="0" fontId="50" fillId="0" borderId="0" xfId="0" applyFont="1"/>
    <xf numFmtId="0" fontId="0" fillId="36" borderId="0" xfId="0" applyFill="1"/>
    <xf numFmtId="0" fontId="39" fillId="36" borderId="0" xfId="0" applyFont="1" applyFill="1"/>
    <xf numFmtId="0" fontId="51" fillId="36" borderId="0" xfId="0" applyFont="1" applyFill="1"/>
    <xf numFmtId="0" fontId="52" fillId="0" borderId="0" xfId="0" applyFont="1"/>
    <xf numFmtId="0" fontId="53" fillId="0" borderId="0" xfId="0" applyFont="1"/>
    <xf numFmtId="0" fontId="54" fillId="0" borderId="0" xfId="0" applyFont="1"/>
    <xf numFmtId="166" fontId="6" fillId="0" borderId="0" xfId="56" applyNumberFormat="1" applyFont="1" applyFill="1" applyBorder="1" applyAlignment="1">
      <alignment horizontal="center"/>
    </xf>
    <xf numFmtId="0" fontId="6" fillId="0" borderId="0" xfId="82" applyFont="1" applyAlignment="1">
      <alignment horizontal="right"/>
    </xf>
    <xf numFmtId="166" fontId="6" fillId="0" borderId="0" xfId="56" applyNumberFormat="1" applyFont="1" applyFill="1" applyBorder="1"/>
    <xf numFmtId="0" fontId="6" fillId="0" borderId="0" xfId="82" applyFont="1" applyAlignment="1">
      <alignment horizontal="center"/>
    </xf>
    <xf numFmtId="0" fontId="39" fillId="24" borderId="16" xfId="0" applyFont="1" applyFill="1" applyBorder="1"/>
    <xf numFmtId="0" fontId="44" fillId="24" borderId="10" xfId="0" applyFont="1" applyFill="1" applyBorder="1"/>
    <xf numFmtId="165" fontId="44" fillId="24" borderId="16" xfId="0" applyNumberFormat="1" applyFont="1" applyFill="1" applyBorder="1"/>
    <xf numFmtId="0" fontId="0" fillId="0" borderId="0" xfId="0" applyAlignment="1">
      <alignment horizontal="left"/>
    </xf>
    <xf numFmtId="0" fontId="29" fillId="29" borderId="11" xfId="0" applyFont="1" applyFill="1" applyBorder="1" applyAlignment="1">
      <alignment horizontal="center"/>
    </xf>
    <xf numFmtId="0" fontId="2" fillId="0" borderId="0" xfId="82"/>
    <xf numFmtId="0" fontId="55" fillId="0" borderId="0" xfId="72" applyFont="1" applyFill="1" applyAlignment="1" applyProtection="1"/>
    <xf numFmtId="0" fontId="46" fillId="0" borderId="0" xfId="82" applyFont="1" applyAlignment="1">
      <alignment vertical="top"/>
    </xf>
    <xf numFmtId="0" fontId="0" fillId="0" borderId="16" xfId="0" applyBorder="1"/>
    <xf numFmtId="0" fontId="56" fillId="0" borderId="0" xfId="0" applyFont="1"/>
    <xf numFmtId="0" fontId="0" fillId="0" borderId="11" xfId="0" applyBorder="1" applyAlignment="1">
      <alignment horizontal="left"/>
    </xf>
    <xf numFmtId="0" fontId="0" fillId="0" borderId="16" xfId="0" applyBorder="1" applyAlignment="1">
      <alignment horizontal="right"/>
    </xf>
    <xf numFmtId="0" fontId="0" fillId="24" borderId="16" xfId="0" applyFill="1" applyBorder="1" applyAlignment="1">
      <alignment horizontal="right"/>
    </xf>
    <xf numFmtId="0" fontId="0" fillId="24" borderId="26" xfId="0" applyFill="1" applyBorder="1" applyAlignment="1">
      <alignment horizontal="center"/>
    </xf>
    <xf numFmtId="0" fontId="0" fillId="24" borderId="11" xfId="0" applyFill="1" applyBorder="1" applyAlignment="1">
      <alignment horizontal="left"/>
    </xf>
    <xf numFmtId="2" fontId="0" fillId="0" borderId="0" xfId="0" applyNumberFormat="1"/>
    <xf numFmtId="0" fontId="40" fillId="36" borderId="0" xfId="0" applyFont="1" applyFill="1" applyAlignment="1">
      <alignment vertical="center" wrapText="1"/>
    </xf>
    <xf numFmtId="0" fontId="39" fillId="40" borderId="0" xfId="0" applyFont="1" applyFill="1"/>
    <xf numFmtId="0" fontId="39" fillId="39" borderId="0" xfId="0" applyFont="1" applyFill="1"/>
    <xf numFmtId="0" fontId="0" fillId="24" borderId="0" xfId="0" applyFill="1"/>
    <xf numFmtId="0" fontId="44" fillId="0" borderId="11" xfId="0" applyFont="1" applyBorder="1" applyAlignment="1">
      <alignment wrapText="1"/>
    </xf>
    <xf numFmtId="0" fontId="0" fillId="24" borderId="10" xfId="0" applyFill="1" applyBorder="1"/>
    <xf numFmtId="0" fontId="0" fillId="24" borderId="18" xfId="0" applyFill="1" applyBorder="1"/>
    <xf numFmtId="0" fontId="0" fillId="24" borderId="17" xfId="0" applyFill="1" applyBorder="1"/>
    <xf numFmtId="0" fontId="0" fillId="24" borderId="12" xfId="0" applyFill="1" applyBorder="1"/>
    <xf numFmtId="0" fontId="0" fillId="24" borderId="14" xfId="0" applyFill="1" applyBorder="1"/>
    <xf numFmtId="0" fontId="33" fillId="24" borderId="10" xfId="0" applyFont="1" applyFill="1" applyBorder="1"/>
    <xf numFmtId="0" fontId="0" fillId="24" borderId="11" xfId="0" applyFill="1" applyBorder="1" applyAlignment="1">
      <alignment horizontal="center" wrapText="1"/>
    </xf>
    <xf numFmtId="0" fontId="0" fillId="0" borderId="11" xfId="0" applyBorder="1"/>
    <xf numFmtId="0" fontId="48" fillId="0" borderId="11" xfId="0" applyFont="1" applyBorder="1" applyAlignment="1">
      <alignment wrapText="1"/>
    </xf>
    <xf numFmtId="0" fontId="59" fillId="0" borderId="16" xfId="0" applyFont="1" applyBorder="1" applyAlignment="1">
      <alignment wrapText="1"/>
    </xf>
    <xf numFmtId="0" fontId="0" fillId="0" borderId="16" xfId="0" applyBorder="1" applyAlignment="1">
      <alignment wrapText="1"/>
    </xf>
    <xf numFmtId="0" fontId="27" fillId="0" borderId="0" xfId="0" applyFont="1"/>
    <xf numFmtId="0" fontId="48" fillId="0" borderId="0" xfId="82" applyFont="1"/>
    <xf numFmtId="0" fontId="39" fillId="0" borderId="0" xfId="82" applyFont="1"/>
    <xf numFmtId="0" fontId="46" fillId="0" borderId="0" xfId="82" applyFont="1"/>
    <xf numFmtId="0" fontId="48" fillId="24" borderId="11" xfId="82" applyFont="1" applyFill="1" applyBorder="1" applyAlignment="1">
      <alignment horizontal="center"/>
    </xf>
    <xf numFmtId="0" fontId="46" fillId="0" borderId="11" xfId="82" applyFont="1" applyBorder="1"/>
    <xf numFmtId="0" fontId="48" fillId="24" borderId="11" xfId="82" applyFont="1" applyFill="1" applyBorder="1" applyAlignment="1">
      <alignment horizontal="left"/>
    </xf>
    <xf numFmtId="0" fontId="0" fillId="24" borderId="16" xfId="0" applyFill="1" applyBorder="1" applyAlignment="1">
      <alignment horizontal="center" wrapText="1"/>
    </xf>
    <xf numFmtId="0" fontId="0" fillId="24" borderId="16" xfId="0" applyFill="1" applyBorder="1"/>
    <xf numFmtId="0" fontId="44" fillId="24" borderId="11" xfId="0" applyFont="1" applyFill="1" applyBorder="1"/>
    <xf numFmtId="0" fontId="44" fillId="24" borderId="11" xfId="82" applyFont="1" applyFill="1" applyBorder="1"/>
    <xf numFmtId="0" fontId="44" fillId="24" borderId="16" xfId="82" applyFont="1" applyFill="1" applyBorder="1"/>
    <xf numFmtId="0" fontId="46" fillId="0" borderId="11" xfId="0" applyFont="1" applyBorder="1" applyAlignment="1">
      <alignment horizontal="left"/>
    </xf>
    <xf numFmtId="0" fontId="0" fillId="0" borderId="11" xfId="82" applyFont="1" applyBorder="1"/>
    <xf numFmtId="0" fontId="0" fillId="0" borderId="0" xfId="82" applyFont="1"/>
    <xf numFmtId="3" fontId="27" fillId="0" borderId="0" xfId="0" applyNumberFormat="1" applyFont="1"/>
    <xf numFmtId="165" fontId="27" fillId="24" borderId="16" xfId="0" applyNumberFormat="1" applyFont="1" applyFill="1" applyBorder="1" applyAlignment="1">
      <alignment wrapText="1"/>
    </xf>
    <xf numFmtId="0" fontId="27" fillId="24" borderId="16" xfId="0" applyFont="1" applyFill="1" applyBorder="1"/>
    <xf numFmtId="0" fontId="44" fillId="24" borderId="11" xfId="0" applyFont="1" applyFill="1" applyBorder="1" applyAlignment="1">
      <alignment horizontal="left"/>
    </xf>
    <xf numFmtId="0" fontId="48" fillId="24" borderId="11" xfId="0" applyFont="1" applyFill="1" applyBorder="1" applyAlignment="1">
      <alignment horizontal="left" vertical="center" wrapText="1"/>
    </xf>
    <xf numFmtId="0" fontId="59" fillId="0" borderId="0" xfId="0" applyFont="1" applyAlignment="1">
      <alignment vertical="center" wrapText="1"/>
    </xf>
    <xf numFmtId="0" fontId="48" fillId="24" borderId="19" xfId="0" applyFont="1" applyFill="1" applyBorder="1" applyAlignment="1">
      <alignment horizontal="right" vertical="center"/>
    </xf>
    <xf numFmtId="3" fontId="0" fillId="0" borderId="0" xfId="0" applyNumberFormat="1"/>
    <xf numFmtId="0" fontId="0" fillId="40" borderId="0" xfId="0" applyFill="1"/>
    <xf numFmtId="0" fontId="0" fillId="39" borderId="0" xfId="0" applyFill="1"/>
    <xf numFmtId="0" fontId="0" fillId="31" borderId="0" xfId="0" applyFill="1"/>
    <xf numFmtId="0" fontId="44" fillId="0" borderId="11" xfId="82" applyFont="1" applyBorder="1"/>
    <xf numFmtId="4" fontId="0" fillId="40" borderId="16" xfId="0" applyNumberFormat="1" applyFill="1" applyBorder="1"/>
    <xf numFmtId="0" fontId="0" fillId="40" borderId="16" xfId="0" applyFill="1" applyBorder="1" applyAlignment="1">
      <alignment horizontal="center"/>
    </xf>
    <xf numFmtId="164" fontId="0" fillId="40" borderId="16" xfId="0" applyNumberFormat="1" applyFill="1" applyBorder="1"/>
    <xf numFmtId="0" fontId="0" fillId="40" borderId="16" xfId="0" applyFill="1" applyBorder="1"/>
    <xf numFmtId="0" fontId="0" fillId="24" borderId="11" xfId="0" applyFill="1" applyBorder="1"/>
    <xf numFmtId="4" fontId="0" fillId="31" borderId="16" xfId="0" applyNumberFormat="1" applyFill="1" applyBorder="1"/>
    <xf numFmtId="0" fontId="0" fillId="31" borderId="16" xfId="0" applyFill="1" applyBorder="1" applyAlignment="1">
      <alignment horizontal="center"/>
    </xf>
    <xf numFmtId="164" fontId="0" fillId="31" borderId="16" xfId="0" applyNumberFormat="1" applyFill="1" applyBorder="1"/>
    <xf numFmtId="0" fontId="0" fillId="31" borderId="16" xfId="0" applyFill="1" applyBorder="1"/>
    <xf numFmtId="0" fontId="44" fillId="24" borderId="16" xfId="0" applyFont="1" applyFill="1" applyBorder="1" applyAlignment="1">
      <alignment horizontal="left"/>
    </xf>
    <xf numFmtId="0" fontId="46" fillId="0" borderId="0" xfId="0" applyFont="1" applyAlignment="1">
      <alignment horizontal="left" vertical="center"/>
    </xf>
    <xf numFmtId="0" fontId="48" fillId="40" borderId="11" xfId="0" applyFont="1" applyFill="1" applyBorder="1" applyAlignment="1">
      <alignment horizontal="left" vertical="center"/>
    </xf>
    <xf numFmtId="0" fontId="39" fillId="40" borderId="0" xfId="82" applyFont="1" applyFill="1"/>
    <xf numFmtId="0" fontId="48" fillId="31" borderId="11" xfId="0" applyFont="1" applyFill="1" applyBorder="1" applyAlignment="1">
      <alignment horizontal="left" vertical="center"/>
    </xf>
    <xf numFmtId="165" fontId="44" fillId="0" borderId="0" xfId="56" applyNumberFormat="1" applyFont="1" applyBorder="1"/>
    <xf numFmtId="0" fontId="29" fillId="26" borderId="0" xfId="0" applyFont="1" applyFill="1" applyAlignment="1">
      <alignment horizontal="center"/>
    </xf>
    <xf numFmtId="0" fontId="58" fillId="37" borderId="11" xfId="0" applyFont="1" applyFill="1" applyBorder="1" applyAlignment="1">
      <alignment horizontal="left"/>
    </xf>
    <xf numFmtId="165" fontId="39" fillId="37" borderId="16" xfId="0" applyNumberFormat="1" applyFont="1" applyFill="1" applyBorder="1" applyAlignment="1">
      <alignment wrapText="1"/>
    </xf>
    <xf numFmtId="0" fontId="39" fillId="37" borderId="16" xfId="0" applyFont="1" applyFill="1" applyBorder="1"/>
    <xf numFmtId="0" fontId="46" fillId="0" borderId="11" xfId="0" applyFont="1" applyBorder="1" applyAlignment="1">
      <alignment horizontal="left" wrapText="1"/>
    </xf>
    <xf numFmtId="0" fontId="60" fillId="0" borderId="0" xfId="0" applyFont="1" applyAlignment="1">
      <alignment vertical="center"/>
    </xf>
    <xf numFmtId="0" fontId="0" fillId="0" borderId="11" xfId="0" applyBorder="1" applyAlignment="1">
      <alignment horizontal="left" vertical="center"/>
    </xf>
    <xf numFmtId="0" fontId="0" fillId="0" borderId="0" xfId="0" applyAlignment="1">
      <alignment horizontal="right" vertical="center"/>
    </xf>
    <xf numFmtId="0" fontId="28" fillId="0" borderId="0" xfId="72" applyAlignment="1" applyProtection="1"/>
    <xf numFmtId="0" fontId="61" fillId="0" borderId="0" xfId="0" applyFont="1"/>
    <xf numFmtId="165" fontId="27" fillId="0" borderId="0" xfId="0" applyNumberFormat="1" applyFont="1"/>
    <xf numFmtId="0" fontId="44" fillId="0" borderId="0" xfId="0" applyFont="1" applyAlignment="1">
      <alignment wrapText="1"/>
    </xf>
    <xf numFmtId="10" fontId="27" fillId="0" borderId="0" xfId="92" applyNumberFormat="1" applyFont="1" applyFill="1" applyBorder="1"/>
    <xf numFmtId="3" fontId="44" fillId="0" borderId="0" xfId="0" applyNumberFormat="1" applyFont="1"/>
    <xf numFmtId="0" fontId="44" fillId="0" borderId="0" xfId="0" applyFont="1" applyAlignment="1">
      <alignment horizontal="right"/>
    </xf>
    <xf numFmtId="0" fontId="64" fillId="0" borderId="0" xfId="0" applyFont="1" applyAlignment="1">
      <alignment horizontal="center" vertical="center"/>
    </xf>
    <xf numFmtId="0" fontId="44" fillId="0" borderId="11" xfId="0" applyFont="1" applyBorder="1" applyAlignment="1">
      <alignment horizontal="left"/>
    </xf>
    <xf numFmtId="0" fontId="44" fillId="0" borderId="16" xfId="0" applyFont="1" applyBorder="1" applyAlignment="1">
      <alignment horizontal="center"/>
    </xf>
    <xf numFmtId="164" fontId="44" fillId="0" borderId="16" xfId="0" applyNumberFormat="1" applyFont="1" applyBorder="1"/>
    <xf numFmtId="0" fontId="44" fillId="0" borderId="16" xfId="0" applyFont="1" applyBorder="1"/>
    <xf numFmtId="0" fontId="58" fillId="0" borderId="16" xfId="0" applyFont="1" applyBorder="1"/>
    <xf numFmtId="0" fontId="27" fillId="24" borderId="11" xfId="0" applyFont="1" applyFill="1" applyBorder="1"/>
    <xf numFmtId="0" fontId="40" fillId="36" borderId="11" xfId="0" applyFont="1" applyFill="1" applyBorder="1" applyAlignment="1">
      <alignment vertical="center" wrapText="1"/>
    </xf>
    <xf numFmtId="0" fontId="39" fillId="36" borderId="16" xfId="0" applyFont="1" applyFill="1" applyBorder="1"/>
    <xf numFmtId="0" fontId="66" fillId="36" borderId="16" xfId="0" applyFont="1" applyFill="1" applyBorder="1" applyAlignment="1">
      <alignment horizontal="left"/>
    </xf>
    <xf numFmtId="0" fontId="39" fillId="40" borderId="16" xfId="0" applyFont="1" applyFill="1" applyBorder="1"/>
    <xf numFmtId="0" fontId="39" fillId="39" borderId="16" xfId="0" applyFont="1" applyFill="1" applyBorder="1"/>
    <xf numFmtId="0" fontId="44" fillId="31" borderId="11" xfId="0" applyFont="1" applyFill="1" applyBorder="1" applyAlignment="1">
      <alignment horizontal="left"/>
    </xf>
    <xf numFmtId="0" fontId="39" fillId="31" borderId="16" xfId="0" applyFont="1" applyFill="1" applyBorder="1"/>
    <xf numFmtId="0" fontId="29" fillId="29" borderId="15" xfId="0" applyFont="1" applyFill="1" applyBorder="1"/>
    <xf numFmtId="0" fontId="46" fillId="0" borderId="11" xfId="0" applyFont="1" applyBorder="1"/>
    <xf numFmtId="165" fontId="0" fillId="0" borderId="0" xfId="56" applyNumberFormat="1" applyFont="1" applyBorder="1"/>
    <xf numFmtId="0" fontId="39" fillId="40" borderId="10" xfId="0" applyFont="1" applyFill="1" applyBorder="1"/>
    <xf numFmtId="0" fontId="39" fillId="40" borderId="12" xfId="0" applyFont="1" applyFill="1" applyBorder="1"/>
    <xf numFmtId="0" fontId="0" fillId="40" borderId="12" xfId="0" applyFill="1" applyBorder="1"/>
    <xf numFmtId="0" fontId="39" fillId="31" borderId="0" xfId="0" applyFont="1" applyFill="1"/>
    <xf numFmtId="0" fontId="39" fillId="31" borderId="10" xfId="0" applyFont="1" applyFill="1" applyBorder="1"/>
    <xf numFmtId="0" fontId="0" fillId="31" borderId="12" xfId="0" applyFill="1" applyBorder="1"/>
    <xf numFmtId="0" fontId="44" fillId="24" borderId="16" xfId="0" applyFont="1" applyFill="1" applyBorder="1" applyAlignment="1">
      <alignment horizontal="center"/>
    </xf>
    <xf numFmtId="164" fontId="44" fillId="24" borderId="16" xfId="0" applyNumberFormat="1" applyFont="1" applyFill="1" applyBorder="1"/>
    <xf numFmtId="0" fontId="44" fillId="24" borderId="16" xfId="0" applyFont="1" applyFill="1" applyBorder="1"/>
    <xf numFmtId="0" fontId="58" fillId="24" borderId="16" xfId="0" applyFont="1" applyFill="1" applyBorder="1"/>
    <xf numFmtId="0" fontId="0" fillId="40" borderId="11" xfId="0" applyFill="1" applyBorder="1" applyAlignment="1">
      <alignment wrapText="1"/>
    </xf>
    <xf numFmtId="0" fontId="46" fillId="31" borderId="11" xfId="82" applyFont="1" applyFill="1" applyBorder="1"/>
    <xf numFmtId="0" fontId="6" fillId="24" borderId="16" xfId="82" applyFont="1" applyFill="1" applyBorder="1" applyAlignment="1">
      <alignment horizontal="left"/>
    </xf>
    <xf numFmtId="0" fontId="6" fillId="24" borderId="16" xfId="82" applyFont="1" applyFill="1" applyBorder="1" applyAlignment="1">
      <alignment horizontal="right"/>
    </xf>
    <xf numFmtId="166" fontId="6" fillId="24" borderId="16" xfId="56" applyNumberFormat="1" applyFont="1" applyFill="1" applyBorder="1"/>
    <xf numFmtId="0" fontId="6" fillId="24" borderId="16" xfId="82" applyFont="1" applyFill="1" applyBorder="1"/>
    <xf numFmtId="0" fontId="48" fillId="0" borderId="0" xfId="82" applyFont="1" applyAlignment="1">
      <alignment horizontal="left"/>
    </xf>
    <xf numFmtId="0" fontId="6" fillId="25" borderId="0" xfId="82" applyFont="1" applyFill="1"/>
    <xf numFmtId="0" fontId="0" fillId="0" borderId="28" xfId="0" applyBorder="1"/>
    <xf numFmtId="0" fontId="0" fillId="0" borderId="11" xfId="0" applyBorder="1" applyAlignment="1">
      <alignment horizontal="center" vertical="center" wrapText="1"/>
    </xf>
    <xf numFmtId="0" fontId="64" fillId="24" borderId="0" xfId="0" applyFont="1" applyFill="1" applyAlignment="1">
      <alignment horizontal="center" vertical="center"/>
    </xf>
    <xf numFmtId="0" fontId="64" fillId="24" borderId="14" xfId="0" applyFont="1" applyFill="1" applyBorder="1" applyAlignment="1">
      <alignment horizontal="center" vertical="center"/>
    </xf>
    <xf numFmtId="0" fontId="27" fillId="24" borderId="0" xfId="0" applyFont="1" applyFill="1"/>
    <xf numFmtId="0" fontId="27" fillId="24" borderId="14" xfId="0" applyFont="1" applyFill="1" applyBorder="1"/>
    <xf numFmtId="0" fontId="64" fillId="24" borderId="12" xfId="0" applyFont="1" applyFill="1" applyBorder="1" applyAlignment="1">
      <alignment horizontal="center" vertical="center"/>
    </xf>
    <xf numFmtId="0" fontId="27" fillId="24" borderId="12" xfId="0" applyFont="1" applyFill="1" applyBorder="1"/>
    <xf numFmtId="0" fontId="0" fillId="24" borderId="28" xfId="0" applyFill="1" applyBorder="1"/>
    <xf numFmtId="0" fontId="46" fillId="24" borderId="12" xfId="0" applyFont="1" applyFill="1" applyBorder="1" applyAlignment="1">
      <alignment horizontal="left"/>
    </xf>
    <xf numFmtId="0" fontId="46" fillId="24" borderId="12" xfId="0" applyFont="1" applyFill="1" applyBorder="1"/>
    <xf numFmtId="0" fontId="46" fillId="24" borderId="12" xfId="0" applyFont="1" applyFill="1" applyBorder="1" applyAlignment="1">
      <alignment vertical="center"/>
    </xf>
    <xf numFmtId="0" fontId="28" fillId="24" borderId="12" xfId="72" applyFill="1" applyBorder="1" applyAlignment="1" applyProtection="1">
      <alignment vertical="center"/>
    </xf>
    <xf numFmtId="0" fontId="46" fillId="24" borderId="13" xfId="82" applyFont="1" applyFill="1" applyBorder="1" applyAlignment="1">
      <alignment horizontal="center"/>
    </xf>
    <xf numFmtId="3" fontId="0" fillId="0" borderId="0" xfId="0" applyNumberFormat="1" applyAlignment="1">
      <alignment horizontal="right"/>
    </xf>
    <xf numFmtId="0" fontId="0" fillId="0" borderId="24" xfId="0" applyBorder="1"/>
    <xf numFmtId="170" fontId="46" fillId="0" borderId="24" xfId="82" applyNumberFormat="1" applyFont="1" applyBorder="1"/>
    <xf numFmtId="170" fontId="46" fillId="0" borderId="22" xfId="82" applyNumberFormat="1" applyFont="1" applyBorder="1"/>
    <xf numFmtId="0" fontId="39" fillId="0" borderId="16" xfId="0" applyFont="1" applyBorder="1" applyAlignment="1">
      <alignment horizontal="center" wrapText="1"/>
    </xf>
    <xf numFmtId="0" fontId="0" fillId="0" borderId="16" xfId="0" applyBorder="1" applyAlignment="1">
      <alignment horizontal="center" wrapText="1"/>
    </xf>
    <xf numFmtId="0" fontId="44" fillId="0" borderId="16" xfId="82" applyFont="1" applyBorder="1"/>
    <xf numFmtId="0" fontId="0" fillId="0" borderId="19" xfId="0" applyBorder="1" applyAlignment="1">
      <alignment horizontal="center"/>
    </xf>
    <xf numFmtId="0" fontId="0" fillId="0" borderId="23" xfId="0" applyBorder="1" applyAlignment="1">
      <alignment horizontal="center"/>
    </xf>
    <xf numFmtId="0" fontId="68" fillId="0" borderId="0" xfId="0" applyFont="1" applyAlignment="1">
      <alignment vertical="center"/>
    </xf>
    <xf numFmtId="0" fontId="44" fillId="0" borderId="0" xfId="82" applyFont="1"/>
    <xf numFmtId="165" fontId="0" fillId="0" borderId="0" xfId="0" quotePrefix="1" applyNumberFormat="1" applyAlignment="1">
      <alignment horizontal="center"/>
    </xf>
    <xf numFmtId="165" fontId="44" fillId="0" borderId="15" xfId="56" applyNumberFormat="1" applyFont="1" applyFill="1" applyBorder="1"/>
    <xf numFmtId="0" fontId="0" fillId="0" borderId="25" xfId="82" applyFont="1" applyBorder="1"/>
    <xf numFmtId="165" fontId="44" fillId="0" borderId="25" xfId="56" applyNumberFormat="1" applyFont="1" applyBorder="1"/>
    <xf numFmtId="0" fontId="39" fillId="0" borderId="25" xfId="0" applyFont="1" applyBorder="1"/>
    <xf numFmtId="10" fontId="29" fillId="0" borderId="0" xfId="0" applyNumberFormat="1" applyFont="1" applyAlignment="1">
      <alignment horizontal="center"/>
    </xf>
    <xf numFmtId="2" fontId="29" fillId="0" borderId="0" xfId="0" applyNumberFormat="1" applyFont="1" applyAlignment="1">
      <alignment horizontal="center"/>
    </xf>
    <xf numFmtId="172" fontId="29" fillId="0" borderId="0" xfId="92" applyNumberFormat="1" applyFont="1" applyAlignment="1">
      <alignment horizontal="center"/>
    </xf>
    <xf numFmtId="173" fontId="29" fillId="0" borderId="0" xfId="0" applyNumberFormat="1" applyFont="1" applyAlignment="1">
      <alignment horizontal="center"/>
    </xf>
    <xf numFmtId="0" fontId="29" fillId="24" borderId="0" xfId="0" applyFont="1" applyFill="1" applyAlignment="1">
      <alignment horizontal="center"/>
    </xf>
    <xf numFmtId="0" fontId="48" fillId="24" borderId="16" xfId="0" applyFont="1" applyFill="1" applyBorder="1" applyAlignment="1">
      <alignment horizontal="left" vertical="center" wrapText="1"/>
    </xf>
    <xf numFmtId="0" fontId="0" fillId="0" borderId="16" xfId="0" applyBorder="1" applyAlignment="1">
      <alignment horizontal="center" vertical="center"/>
    </xf>
    <xf numFmtId="0" fontId="29" fillId="43" borderId="0" xfId="0" applyFont="1" applyFill="1" applyAlignment="1">
      <alignment horizontal="left"/>
    </xf>
    <xf numFmtId="170" fontId="48" fillId="0" borderId="12" xfId="82" applyNumberFormat="1" applyFont="1" applyBorder="1"/>
    <xf numFmtId="170" fontId="46" fillId="0" borderId="12" xfId="82" applyNumberFormat="1" applyFont="1" applyBorder="1"/>
    <xf numFmtId="9" fontId="0" fillId="0" borderId="0" xfId="0" applyNumberFormat="1"/>
    <xf numFmtId="9" fontId="0" fillId="0" borderId="0" xfId="0" applyNumberFormat="1" applyAlignment="1">
      <alignment horizontal="right"/>
    </xf>
    <xf numFmtId="0" fontId="4" fillId="25" borderId="0" xfId="0" applyFont="1" applyFill="1" applyAlignment="1">
      <alignment vertical="center"/>
    </xf>
    <xf numFmtId="0" fontId="4" fillId="0" borderId="10" xfId="0" applyFont="1" applyBorder="1" applyAlignment="1">
      <alignment vertical="center"/>
    </xf>
    <xf numFmtId="0" fontId="0" fillId="39" borderId="14" xfId="0" applyFill="1" applyBorder="1"/>
    <xf numFmtId="0" fontId="46" fillId="39" borderId="0" xfId="0" applyFont="1" applyFill="1" applyAlignment="1">
      <alignment horizontal="left" vertical="center"/>
    </xf>
    <xf numFmtId="4" fontId="0" fillId="39" borderId="0" xfId="0" applyNumberFormat="1" applyFill="1"/>
    <xf numFmtId="0" fontId="0" fillId="39" borderId="0" xfId="0" applyFill="1" applyAlignment="1">
      <alignment horizontal="center"/>
    </xf>
    <xf numFmtId="164" fontId="0" fillId="39" borderId="0" xfId="0" applyNumberFormat="1" applyFill="1"/>
    <xf numFmtId="0" fontId="44" fillId="39" borderId="16" xfId="0" applyFont="1" applyFill="1" applyBorder="1" applyAlignment="1">
      <alignment horizontal="left"/>
    </xf>
    <xf numFmtId="0" fontId="39" fillId="39" borderId="12" xfId="0" applyFont="1" applyFill="1" applyBorder="1"/>
    <xf numFmtId="10" fontId="0" fillId="0" borderId="0" xfId="92" applyNumberFormat="1" applyFont="1" applyFill="1" applyBorder="1"/>
    <xf numFmtId="0" fontId="28" fillId="0" borderId="0" xfId="72" applyBorder="1" applyAlignment="1" applyProtection="1"/>
    <xf numFmtId="0" fontId="0" fillId="0" borderId="0" xfId="0" applyAlignment="1">
      <alignment horizontal="center"/>
    </xf>
    <xf numFmtId="3" fontId="0" fillId="38" borderId="26" xfId="0" applyNumberFormat="1" applyFill="1" applyBorder="1" applyAlignment="1">
      <alignment horizontal="right"/>
    </xf>
    <xf numFmtId="0" fontId="0" fillId="39" borderId="11" xfId="0" applyFill="1" applyBorder="1"/>
    <xf numFmtId="0" fontId="50" fillId="0" borderId="12" xfId="0" applyFont="1" applyBorder="1"/>
    <xf numFmtId="166" fontId="50" fillId="0" borderId="0" xfId="56" applyNumberFormat="1" applyFont="1" applyFill="1" applyBorder="1" applyAlignment="1">
      <alignment horizontal="left"/>
    </xf>
    <xf numFmtId="0" fontId="0" fillId="0" borderId="0" xfId="0" applyAlignment="1">
      <alignment horizontal="center" wrapText="1"/>
    </xf>
    <xf numFmtId="0" fontId="0" fillId="24" borderId="31" xfId="0" applyFill="1" applyBorder="1" applyAlignment="1">
      <alignment horizontal="center"/>
    </xf>
    <xf numFmtId="3" fontId="0" fillId="38" borderId="27" xfId="0" applyNumberFormat="1" applyFill="1" applyBorder="1" applyAlignment="1">
      <alignment horizontal="right"/>
    </xf>
    <xf numFmtId="49" fontId="6" fillId="0" borderId="15" xfId="0" applyNumberFormat="1" applyFont="1" applyBorder="1"/>
    <xf numFmtId="0" fontId="33" fillId="0" borderId="0" xfId="0" applyFont="1"/>
    <xf numFmtId="49" fontId="7" fillId="0" borderId="11" xfId="0" applyNumberFormat="1" applyFont="1" applyBorder="1"/>
    <xf numFmtId="49" fontId="6" fillId="0" borderId="13" xfId="0" applyNumberFormat="1" applyFont="1" applyBorder="1"/>
    <xf numFmtId="0" fontId="29" fillId="0" borderId="13" xfId="0" applyFont="1" applyBorder="1" applyAlignment="1">
      <alignment horizontal="center"/>
    </xf>
    <xf numFmtId="0" fontId="32" fillId="25" borderId="11" xfId="0" applyFont="1" applyFill="1" applyBorder="1"/>
    <xf numFmtId="0" fontId="29" fillId="25" borderId="16" xfId="0" applyFont="1" applyFill="1" applyBorder="1"/>
    <xf numFmtId="0" fontId="29" fillId="25" borderId="16" xfId="0" applyFont="1" applyFill="1" applyBorder="1" applyAlignment="1">
      <alignment horizontal="left"/>
    </xf>
    <xf numFmtId="3" fontId="38" fillId="25" borderId="16" xfId="0" applyNumberFormat="1" applyFont="1" applyFill="1" applyBorder="1"/>
    <xf numFmtId="0" fontId="32" fillId="24" borderId="11" xfId="0" applyFont="1" applyFill="1" applyBorder="1" applyAlignment="1">
      <alignment horizontal="center"/>
    </xf>
    <xf numFmtId="0" fontId="44" fillId="24" borderId="11" xfId="0" applyFont="1" applyFill="1" applyBorder="1" applyAlignment="1">
      <alignment horizontal="center"/>
    </xf>
    <xf numFmtId="0" fontId="29" fillId="0" borderId="11" xfId="0" applyFont="1" applyBorder="1"/>
    <xf numFmtId="0" fontId="29" fillId="0" borderId="0" xfId="0" applyFont="1" applyAlignment="1">
      <alignment horizontal="left"/>
    </xf>
    <xf numFmtId="166" fontId="0" fillId="0" borderId="11" xfId="57" applyNumberFormat="1" applyFont="1" applyFill="1" applyBorder="1"/>
    <xf numFmtId="171" fontId="0" fillId="0" borderId="11" xfId="92" applyNumberFormat="1" applyFont="1" applyFill="1" applyBorder="1"/>
    <xf numFmtId="174" fontId="6" fillId="43" borderId="0" xfId="92" applyNumberFormat="1" applyFont="1" applyFill="1"/>
    <xf numFmtId="3" fontId="38" fillId="0" borderId="11" xfId="0" applyNumberFormat="1" applyFont="1" applyBorder="1"/>
    <xf numFmtId="0" fontId="29" fillId="0" borderId="11" xfId="0" applyFont="1" applyBorder="1" applyAlignment="1">
      <alignment horizontal="center"/>
    </xf>
    <xf numFmtId="0" fontId="32" fillId="0" borderId="16" xfId="0" applyFont="1" applyBorder="1" applyAlignment="1">
      <alignment horizontal="center"/>
    </xf>
    <xf numFmtId="0" fontId="29" fillId="41" borderId="0" xfId="0" applyFont="1" applyFill="1" applyAlignment="1">
      <alignment horizontal="center"/>
    </xf>
    <xf numFmtId="0" fontId="49" fillId="0" borderId="0" xfId="0" applyFont="1" applyAlignment="1" applyProtection="1">
      <alignment horizontal="center" vertical="center" wrapText="1"/>
      <protection locked="0"/>
    </xf>
    <xf numFmtId="0" fontId="46" fillId="0" borderId="11" xfId="0" applyFont="1" applyBorder="1" applyAlignment="1">
      <alignment wrapText="1"/>
    </xf>
    <xf numFmtId="0" fontId="27" fillId="0" borderId="11" xfId="82" applyFont="1" applyBorder="1"/>
    <xf numFmtId="0" fontId="0" fillId="38" borderId="26" xfId="0" applyFill="1" applyBorder="1" applyAlignment="1" applyProtection="1">
      <alignment horizontal="center"/>
      <protection locked="0"/>
    </xf>
    <xf numFmtId="9" fontId="0" fillId="38" borderId="31" xfId="0" applyNumberFormat="1" applyFill="1" applyBorder="1" applyAlignment="1" applyProtection="1">
      <alignment horizontal="right"/>
      <protection locked="0"/>
    </xf>
    <xf numFmtId="9" fontId="0" fillId="38" borderId="26" xfId="0" applyNumberFormat="1" applyFill="1" applyBorder="1" applyAlignment="1" applyProtection="1">
      <alignment horizontal="right"/>
      <protection locked="0"/>
    </xf>
    <xf numFmtId="0" fontId="0" fillId="38" borderId="27" xfId="0" applyFill="1" applyBorder="1" applyAlignment="1" applyProtection="1">
      <alignment horizontal="center" wrapText="1"/>
      <protection locked="0"/>
    </xf>
    <xf numFmtId="0" fontId="46" fillId="38" borderId="11" xfId="82" applyFont="1" applyFill="1" applyBorder="1" applyAlignment="1" applyProtection="1">
      <alignment horizontal="left"/>
      <protection locked="0"/>
    </xf>
    <xf numFmtId="0" fontId="6" fillId="38" borderId="16" xfId="82" applyFont="1" applyFill="1" applyBorder="1" applyAlignment="1" applyProtection="1">
      <alignment horizontal="right"/>
      <protection locked="0"/>
    </xf>
    <xf numFmtId="166" fontId="6" fillId="38" borderId="16" xfId="56" applyNumberFormat="1" applyFont="1" applyFill="1" applyBorder="1" applyProtection="1">
      <protection locked="0"/>
    </xf>
    <xf numFmtId="0" fontId="6" fillId="38" borderId="16" xfId="82" applyFont="1" applyFill="1" applyBorder="1" applyProtection="1">
      <protection locked="0"/>
    </xf>
    <xf numFmtId="0" fontId="6" fillId="38" borderId="16" xfId="82" applyFont="1" applyFill="1" applyBorder="1" applyAlignment="1" applyProtection="1">
      <alignment horizontal="left"/>
      <protection locked="0"/>
    </xf>
    <xf numFmtId="165" fontId="46" fillId="38" borderId="11" xfId="82" applyNumberFormat="1" applyFont="1" applyFill="1" applyBorder="1" applyProtection="1">
      <protection locked="0"/>
    </xf>
    <xf numFmtId="0" fontId="46" fillId="24" borderId="0" xfId="87" applyFont="1" applyFill="1" applyAlignment="1">
      <alignment horizontal="left"/>
    </xf>
    <xf numFmtId="0" fontId="27" fillId="24" borderId="0" xfId="0" quotePrefix="1" applyFont="1" applyFill="1"/>
    <xf numFmtId="166" fontId="6" fillId="0" borderId="0" xfId="56" applyNumberFormat="1" applyFont="1"/>
    <xf numFmtId="165" fontId="48" fillId="0" borderId="0" xfId="82" applyNumberFormat="1" applyFont="1"/>
    <xf numFmtId="0" fontId="0" fillId="0" borderId="10" xfId="0" applyBorder="1" applyAlignment="1">
      <alignment horizontal="left"/>
    </xf>
    <xf numFmtId="0" fontId="0" fillId="0" borderId="36" xfId="0" applyBorder="1"/>
    <xf numFmtId="0" fontId="0" fillId="0" borderId="25" xfId="0" applyBorder="1"/>
    <xf numFmtId="0" fontId="0" fillId="0" borderId="33" xfId="0" applyBorder="1"/>
    <xf numFmtId="0" fontId="0" fillId="0" borderId="37" xfId="0" applyBorder="1"/>
    <xf numFmtId="0" fontId="0" fillId="0" borderId="38" xfId="0" applyBorder="1"/>
    <xf numFmtId="0" fontId="0" fillId="0" borderId="39" xfId="0" applyBorder="1"/>
    <xf numFmtId="0" fontId="0" fillId="35" borderId="25" xfId="0" applyFill="1" applyBorder="1"/>
    <xf numFmtId="0" fontId="0" fillId="27" borderId="40" xfId="0" applyFill="1" applyBorder="1"/>
    <xf numFmtId="0" fontId="0" fillId="0" borderId="41" xfId="0" applyBorder="1"/>
    <xf numFmtId="0" fontId="44" fillId="0" borderId="34" xfId="0" applyFont="1" applyBorder="1"/>
    <xf numFmtId="0" fontId="44" fillId="0" borderId="42" xfId="0" applyFont="1" applyBorder="1"/>
    <xf numFmtId="0" fontId="0" fillId="35" borderId="38" xfId="0" applyFill="1" applyBorder="1"/>
    <xf numFmtId="0" fontId="0" fillId="27" borderId="38" xfId="0" applyFill="1" applyBorder="1"/>
    <xf numFmtId="0" fontId="0" fillId="35" borderId="13" xfId="0" applyFill="1" applyBorder="1"/>
    <xf numFmtId="0" fontId="0" fillId="27" borderId="13" xfId="0" applyFill="1" applyBorder="1"/>
    <xf numFmtId="0" fontId="0" fillId="0" borderId="13" xfId="0" applyBorder="1"/>
    <xf numFmtId="0" fontId="44" fillId="0" borderId="41" xfId="0" applyFont="1" applyBorder="1"/>
    <xf numFmtId="0" fontId="44" fillId="0" borderId="18" xfId="0" applyFont="1" applyBorder="1"/>
    <xf numFmtId="0" fontId="0" fillId="35" borderId="12" xfId="0" applyFill="1" applyBorder="1"/>
    <xf numFmtId="0" fontId="44" fillId="0" borderId="43" xfId="0" applyFont="1" applyBorder="1"/>
    <xf numFmtId="0" fontId="44" fillId="0" borderId="44" xfId="0" applyFont="1" applyBorder="1"/>
    <xf numFmtId="0" fontId="0" fillId="27" borderId="35" xfId="0" applyFill="1" applyBorder="1"/>
    <xf numFmtId="0" fontId="0" fillId="35" borderId="40" xfId="0" applyFill="1" applyBorder="1"/>
    <xf numFmtId="16" fontId="32" fillId="28" borderId="11" xfId="0" applyNumberFormat="1" applyFont="1" applyFill="1" applyBorder="1" applyAlignment="1">
      <alignment horizontal="center" vertical="center" wrapText="1"/>
    </xf>
    <xf numFmtId="171" fontId="29" fillId="26" borderId="0" xfId="92" applyNumberFormat="1" applyFont="1" applyFill="1" applyBorder="1"/>
    <xf numFmtId="171" fontId="29" fillId="43" borderId="0" xfId="92" applyNumberFormat="1" applyFont="1" applyFill="1" applyBorder="1"/>
    <xf numFmtId="0" fontId="48" fillId="0" borderId="11" xfId="0" applyFont="1" applyBorder="1"/>
    <xf numFmtId="0" fontId="69" fillId="0" borderId="0" xfId="0" applyFont="1"/>
    <xf numFmtId="0" fontId="0" fillId="24" borderId="26" xfId="0" applyFill="1" applyBorder="1" applyAlignment="1">
      <alignment horizontal="center" wrapText="1"/>
    </xf>
    <xf numFmtId="3" fontId="0" fillId="38" borderId="26" xfId="0" applyNumberFormat="1" applyFill="1" applyBorder="1" applyAlignment="1" applyProtection="1">
      <alignment horizontal="right"/>
      <protection locked="0"/>
    </xf>
    <xf numFmtId="171" fontId="0" fillId="0" borderId="0" xfId="0" applyNumberFormat="1"/>
    <xf numFmtId="171" fontId="44" fillId="0" borderId="0" xfId="0" applyNumberFormat="1" applyFont="1"/>
    <xf numFmtId="0" fontId="49" fillId="0" borderId="0" xfId="0" applyFont="1"/>
    <xf numFmtId="10" fontId="0" fillId="0" borderId="0" xfId="0" applyNumberFormat="1"/>
    <xf numFmtId="10" fontId="44" fillId="0" borderId="0" xfId="0" applyNumberFormat="1" applyFont="1"/>
    <xf numFmtId="0" fontId="72" fillId="0" borderId="0" xfId="0" applyFont="1"/>
    <xf numFmtId="0" fontId="0" fillId="26" borderId="0" xfId="0" applyFill="1"/>
    <xf numFmtId="176" fontId="0" fillId="26" borderId="0" xfId="0" applyNumberFormat="1" applyFill="1"/>
    <xf numFmtId="10" fontId="0" fillId="26" borderId="0" xfId="0" applyNumberFormat="1" applyFill="1"/>
    <xf numFmtId="176" fontId="44" fillId="26" borderId="0" xfId="0" applyNumberFormat="1" applyFont="1" applyFill="1"/>
    <xf numFmtId="10" fontId="44" fillId="26" borderId="0" xfId="0" applyNumberFormat="1" applyFont="1" applyFill="1"/>
    <xf numFmtId="3" fontId="44" fillId="26" borderId="0" xfId="0" applyNumberFormat="1" applyFont="1" applyFill="1"/>
    <xf numFmtId="0" fontId="44" fillId="26" borderId="0" xfId="0" applyFont="1" applyFill="1"/>
    <xf numFmtId="0" fontId="73" fillId="45" borderId="46" xfId="0" applyFont="1" applyFill="1" applyBorder="1" applyAlignment="1">
      <alignment vertical="center" wrapText="1"/>
    </xf>
    <xf numFmtId="8" fontId="73" fillId="45" borderId="46" xfId="0" applyNumberFormat="1" applyFont="1" applyFill="1" applyBorder="1" applyAlignment="1">
      <alignment vertical="center" wrapText="1"/>
    </xf>
    <xf numFmtId="0" fontId="73" fillId="45" borderId="47" xfId="0" applyFont="1" applyFill="1" applyBorder="1" applyAlignment="1">
      <alignment vertical="center" wrapText="1"/>
    </xf>
    <xf numFmtId="0" fontId="73" fillId="45" borderId="48" xfId="0" applyFont="1" applyFill="1" applyBorder="1" applyAlignment="1">
      <alignment vertical="center" wrapText="1"/>
    </xf>
    <xf numFmtId="8" fontId="73" fillId="45" borderId="48" xfId="0" applyNumberFormat="1" applyFont="1" applyFill="1" applyBorder="1" applyAlignment="1">
      <alignment vertical="center" wrapText="1"/>
    </xf>
    <xf numFmtId="0" fontId="73" fillId="45" borderId="49" xfId="0" applyFont="1" applyFill="1" applyBorder="1" applyAlignment="1">
      <alignment vertical="center" wrapText="1"/>
    </xf>
    <xf numFmtId="0" fontId="73" fillId="45" borderId="50" xfId="0" applyFont="1" applyFill="1" applyBorder="1" applyAlignment="1">
      <alignment vertical="center" wrapText="1"/>
    </xf>
    <xf numFmtId="8" fontId="73" fillId="45" borderId="50" xfId="0" applyNumberFormat="1" applyFont="1" applyFill="1" applyBorder="1" applyAlignment="1">
      <alignment vertical="center" wrapText="1"/>
    </xf>
    <xf numFmtId="0" fontId="73" fillId="45" borderId="51" xfId="0" applyFont="1" applyFill="1" applyBorder="1" applyAlignment="1">
      <alignment vertical="center" wrapText="1"/>
    </xf>
    <xf numFmtId="0" fontId="73" fillId="45" borderId="0" xfId="0" applyFont="1" applyFill="1" applyAlignment="1">
      <alignment vertical="center" wrapText="1"/>
    </xf>
    <xf numFmtId="0" fontId="71" fillId="24" borderId="0" xfId="82" applyFont="1" applyFill="1"/>
    <xf numFmtId="0" fontId="73" fillId="0" borderId="46" xfId="0" applyFont="1" applyBorder="1" applyAlignment="1">
      <alignment vertical="center" wrapText="1"/>
    </xf>
    <xf numFmtId="8" fontId="73" fillId="0" borderId="46" xfId="0" applyNumberFormat="1" applyFont="1" applyBorder="1" applyAlignment="1">
      <alignment vertical="center" wrapText="1"/>
    </xf>
    <xf numFmtId="0" fontId="73" fillId="0" borderId="47" xfId="0" applyFont="1" applyBorder="1" applyAlignment="1">
      <alignment vertical="center" wrapText="1"/>
    </xf>
    <xf numFmtId="0" fontId="73" fillId="0" borderId="0" xfId="0" applyFont="1" applyAlignment="1">
      <alignment vertical="center" wrapText="1"/>
    </xf>
    <xf numFmtId="0" fontId="73" fillId="0" borderId="53" xfId="0" applyFont="1" applyBorder="1" applyAlignment="1">
      <alignment vertical="top" wrapText="1" readingOrder="1"/>
    </xf>
    <xf numFmtId="3" fontId="73" fillId="0" borderId="56" xfId="0" applyNumberFormat="1" applyFont="1" applyBorder="1" applyAlignment="1">
      <alignment vertical="top" wrapText="1" readingOrder="1"/>
    </xf>
    <xf numFmtId="0" fontId="73" fillId="0" borderId="56" xfId="0" applyFont="1" applyBorder="1" applyAlignment="1">
      <alignment vertical="top" wrapText="1" readingOrder="1"/>
    </xf>
    <xf numFmtId="0" fontId="73" fillId="0" borderId="57" xfId="0" applyFont="1" applyBorder="1" applyAlignment="1">
      <alignment vertical="top" wrapText="1" readingOrder="1"/>
    </xf>
    <xf numFmtId="0" fontId="73" fillId="24" borderId="0" xfId="0" applyFont="1" applyFill="1" applyAlignment="1">
      <alignment vertical="top" wrapText="1" readingOrder="1"/>
    </xf>
    <xf numFmtId="3" fontId="73" fillId="24" borderId="0" xfId="0" applyNumberFormat="1" applyFont="1" applyFill="1" applyAlignment="1">
      <alignment vertical="top" wrapText="1" readingOrder="1"/>
    </xf>
    <xf numFmtId="0" fontId="76" fillId="24" borderId="0" xfId="0" applyFont="1" applyFill="1" applyAlignment="1">
      <alignment horizontal="center" vertical="center" wrapText="1" readingOrder="1"/>
    </xf>
    <xf numFmtId="3" fontId="76" fillId="24" borderId="0" xfId="0" applyNumberFormat="1" applyFont="1" applyFill="1" applyAlignment="1">
      <alignment vertical="top" wrapText="1" readingOrder="1"/>
    </xf>
    <xf numFmtId="9" fontId="44" fillId="38" borderId="31" xfId="0" applyNumberFormat="1" applyFont="1" applyFill="1" applyBorder="1" applyAlignment="1" applyProtection="1">
      <alignment horizontal="right"/>
      <protection locked="0"/>
    </xf>
    <xf numFmtId="9" fontId="44" fillId="38" borderId="26" xfId="0" applyNumberFormat="1" applyFont="1" applyFill="1" applyBorder="1" applyAlignment="1" applyProtection="1">
      <alignment horizontal="right"/>
      <protection locked="0"/>
    </xf>
    <xf numFmtId="0" fontId="0" fillId="0" borderId="52" xfId="0" applyBorder="1"/>
    <xf numFmtId="3" fontId="29" fillId="0" borderId="13" xfId="0" applyNumberFormat="1" applyFont="1" applyBorder="1"/>
    <xf numFmtId="0" fontId="77" fillId="25" borderId="66" xfId="0" applyFont="1" applyFill="1" applyBorder="1" applyAlignment="1">
      <alignment horizontal="center" wrapText="1"/>
    </xf>
    <xf numFmtId="0" fontId="76" fillId="47" borderId="67" xfId="0" applyFont="1" applyFill="1" applyBorder="1" applyAlignment="1">
      <alignment horizontal="center" vertical="center" wrapText="1"/>
    </xf>
    <xf numFmtId="0" fontId="76" fillId="47" borderId="68" xfId="0" applyFont="1" applyFill="1" applyBorder="1" applyAlignment="1">
      <alignment horizontal="center" vertical="center" wrapText="1"/>
    </xf>
    <xf numFmtId="0" fontId="73" fillId="0" borderId="66" xfId="0" applyFont="1" applyBorder="1" applyAlignment="1">
      <alignment horizontal="left" wrapText="1"/>
    </xf>
    <xf numFmtId="0" fontId="73" fillId="0" borderId="26" xfId="0" applyFont="1" applyBorder="1" applyAlignment="1">
      <alignment horizontal="left" wrapText="1"/>
    </xf>
    <xf numFmtId="177" fontId="73" fillId="0" borderId="26" xfId="0" applyNumberFormat="1" applyFont="1" applyBorder="1" applyAlignment="1">
      <alignment horizontal="right" wrapText="1"/>
    </xf>
    <xf numFmtId="178" fontId="73" fillId="0" borderId="69" xfId="0" applyNumberFormat="1" applyFont="1" applyBorder="1" applyAlignment="1">
      <alignment horizontal="right" wrapText="1"/>
    </xf>
    <xf numFmtId="0" fontId="73" fillId="0" borderId="70" xfId="0" applyFont="1" applyBorder="1" applyAlignment="1">
      <alignment horizontal="left" wrapText="1"/>
    </xf>
    <xf numFmtId="0" fontId="73" fillId="0" borderId="71" xfId="0" applyFont="1" applyBorder="1" applyAlignment="1">
      <alignment horizontal="left" wrapText="1"/>
    </xf>
    <xf numFmtId="177" fontId="73" fillId="0" borderId="71" xfId="0" applyNumberFormat="1" applyFont="1" applyBorder="1" applyAlignment="1">
      <alignment horizontal="right" wrapText="1"/>
    </xf>
    <xf numFmtId="178" fontId="73" fillId="0" borderId="72" xfId="0" applyNumberFormat="1" applyFont="1" applyBorder="1" applyAlignment="1">
      <alignment horizontal="right" wrapText="1"/>
    </xf>
    <xf numFmtId="0" fontId="77" fillId="25" borderId="26" xfId="0" applyFont="1" applyFill="1" applyBorder="1" applyAlignment="1">
      <alignment horizontal="left" wrapText="1"/>
    </xf>
    <xf numFmtId="3" fontId="77" fillId="25" borderId="26" xfId="0" applyNumberFormat="1" applyFont="1" applyFill="1" applyBorder="1" applyAlignment="1">
      <alignment horizontal="center" wrapText="1"/>
    </xf>
    <xf numFmtId="0" fontId="79" fillId="24" borderId="0" xfId="82" applyFont="1" applyFill="1"/>
    <xf numFmtId="9" fontId="0" fillId="24" borderId="26" xfId="0" applyNumberFormat="1" applyFill="1" applyBorder="1" applyAlignment="1" applyProtection="1">
      <alignment horizontal="right"/>
      <protection locked="0"/>
    </xf>
    <xf numFmtId="0" fontId="44" fillId="0" borderId="11" xfId="0" applyFont="1" applyBorder="1"/>
    <xf numFmtId="165" fontId="27" fillId="0" borderId="52" xfId="0" applyNumberFormat="1" applyFont="1" applyBorder="1" applyAlignment="1">
      <alignment wrapText="1"/>
    </xf>
    <xf numFmtId="0" fontId="27" fillId="0" borderId="52" xfId="0" applyFont="1" applyBorder="1" applyAlignment="1">
      <alignment horizontal="center" wrapText="1"/>
    </xf>
    <xf numFmtId="8" fontId="73" fillId="0" borderId="0" xfId="0" applyNumberFormat="1" applyFont="1" applyAlignment="1">
      <alignment vertical="center" wrapText="1"/>
    </xf>
    <xf numFmtId="0" fontId="0" fillId="0" borderId="0" xfId="0" applyAlignment="1">
      <alignment wrapText="1"/>
    </xf>
    <xf numFmtId="3" fontId="0" fillId="0" borderId="11" xfId="0" applyNumberFormat="1" applyBorder="1"/>
    <xf numFmtId="165" fontId="27" fillId="0" borderId="16" xfId="0" applyNumberFormat="1" applyFont="1" applyBorder="1" applyAlignment="1">
      <alignment wrapText="1"/>
    </xf>
    <xf numFmtId="3" fontId="46" fillId="0" borderId="16" xfId="0" applyNumberFormat="1" applyFont="1" applyBorder="1" applyAlignment="1">
      <alignment horizontal="center" wrapText="1"/>
    </xf>
    <xf numFmtId="0" fontId="39" fillId="40" borderId="52" xfId="0" applyFont="1" applyFill="1" applyBorder="1"/>
    <xf numFmtId="0" fontId="0" fillId="40" borderId="11" xfId="0" applyFill="1" applyBorder="1" applyAlignment="1">
      <alignment horizontal="left"/>
    </xf>
    <xf numFmtId="0" fontId="48" fillId="40" borderId="0" xfId="0" applyFont="1" applyFill="1" applyAlignment="1">
      <alignment horizontal="left" vertical="center" wrapText="1"/>
    </xf>
    <xf numFmtId="0" fontId="48" fillId="40" borderId="0" xfId="0" applyFont="1" applyFill="1" applyAlignment="1">
      <alignment horizontal="right" vertical="center"/>
    </xf>
    <xf numFmtId="3" fontId="44" fillId="40" borderId="0" xfId="0" applyNumberFormat="1" applyFont="1" applyFill="1"/>
    <xf numFmtId="0" fontId="44" fillId="40" borderId="0" xfId="0" applyFont="1" applyFill="1"/>
    <xf numFmtId="165" fontId="44" fillId="40" borderId="0" xfId="0" applyNumberFormat="1" applyFont="1" applyFill="1"/>
    <xf numFmtId="3" fontId="0" fillId="24" borderId="26" xfId="0" applyNumberFormat="1" applyFill="1" applyBorder="1" applyAlignment="1" applyProtection="1">
      <alignment horizontal="right"/>
      <protection locked="0"/>
    </xf>
    <xf numFmtId="3" fontId="80" fillId="25" borderId="26" xfId="0" applyNumberFormat="1" applyFont="1" applyFill="1" applyBorder="1" applyAlignment="1">
      <alignment horizontal="center" wrapText="1"/>
    </xf>
    <xf numFmtId="177" fontId="76" fillId="0" borderId="26" xfId="0" applyNumberFormat="1" applyFont="1" applyBorder="1" applyAlignment="1">
      <alignment horizontal="right" wrapText="1"/>
    </xf>
    <xf numFmtId="0" fontId="0" fillId="38" borderId="74" xfId="0" applyFill="1" applyBorder="1" applyProtection="1">
      <protection locked="0"/>
    </xf>
    <xf numFmtId="0" fontId="0" fillId="38" borderId="75" xfId="0" applyFill="1" applyBorder="1" applyProtection="1">
      <protection locked="0"/>
    </xf>
    <xf numFmtId="0" fontId="0" fillId="38" borderId="75" xfId="0" applyFill="1" applyBorder="1" applyAlignment="1" applyProtection="1">
      <alignment horizontal="right"/>
      <protection locked="0"/>
    </xf>
    <xf numFmtId="0" fontId="27" fillId="0" borderId="11" xfId="0" applyFont="1" applyBorder="1"/>
    <xf numFmtId="0" fontId="27" fillId="0" borderId="52" xfId="0" applyFont="1" applyBorder="1"/>
    <xf numFmtId="165" fontId="27" fillId="0" borderId="52" xfId="0" applyNumberFormat="1" applyFont="1" applyBorder="1"/>
    <xf numFmtId="3" fontId="0" fillId="0" borderId="32" xfId="0" applyNumberFormat="1" applyBorder="1" applyAlignment="1">
      <alignment horizontal="right"/>
    </xf>
    <xf numFmtId="9" fontId="0" fillId="0" borderId="77" xfId="0" applyNumberFormat="1" applyBorder="1" applyAlignment="1" applyProtection="1">
      <alignment horizontal="right"/>
      <protection locked="0"/>
    </xf>
    <xf numFmtId="9" fontId="0" fillId="0" borderId="32" xfId="0" applyNumberFormat="1" applyBorder="1" applyAlignment="1" applyProtection="1">
      <alignment horizontal="right"/>
      <protection locked="0"/>
    </xf>
    <xf numFmtId="0" fontId="0" fillId="24" borderId="78" xfId="0" applyFill="1" applyBorder="1" applyAlignment="1">
      <alignment horizontal="center"/>
    </xf>
    <xf numFmtId="0" fontId="0" fillId="24" borderId="73" xfId="0" applyFill="1" applyBorder="1" applyAlignment="1">
      <alignment horizontal="center"/>
    </xf>
    <xf numFmtId="9" fontId="0" fillId="0" borderId="0" xfId="0" applyNumberFormat="1" applyAlignment="1" applyProtection="1">
      <alignment horizontal="right"/>
      <protection locked="0"/>
    </xf>
    <xf numFmtId="3" fontId="44" fillId="40" borderId="52" xfId="0" applyNumberFormat="1" applyFont="1" applyFill="1" applyBorder="1"/>
    <xf numFmtId="0" fontId="81" fillId="0" borderId="0" xfId="0" applyFont="1" applyAlignment="1">
      <alignment vertical="center" wrapText="1"/>
    </xf>
    <xf numFmtId="3" fontId="81" fillId="0" borderId="0" xfId="0" applyNumberFormat="1" applyFont="1" applyAlignment="1">
      <alignment horizontal="right" vertical="center" wrapText="1"/>
    </xf>
    <xf numFmtId="10" fontId="81" fillId="0" borderId="0" xfId="0" applyNumberFormat="1" applyFont="1" applyAlignment="1">
      <alignment horizontal="right" vertical="center" wrapText="1"/>
    </xf>
    <xf numFmtId="0" fontId="81" fillId="0" borderId="0" xfId="0" applyFont="1" applyAlignment="1">
      <alignment vertical="center"/>
    </xf>
    <xf numFmtId="3" fontId="81" fillId="0" borderId="0" xfId="0" applyNumberFormat="1" applyFont="1" applyAlignment="1">
      <alignment horizontal="right" vertical="center"/>
    </xf>
    <xf numFmtId="10" fontId="81" fillId="0" borderId="0" xfId="0" applyNumberFormat="1" applyFont="1" applyAlignment="1">
      <alignment horizontal="right" vertical="center"/>
    </xf>
    <xf numFmtId="10" fontId="48" fillId="0" borderId="0" xfId="92" applyNumberFormat="1" applyFont="1" applyFill="1" applyBorder="1"/>
    <xf numFmtId="0" fontId="0" fillId="0" borderId="0" xfId="0" applyAlignment="1">
      <alignment horizontal="left" wrapText="1"/>
    </xf>
    <xf numFmtId="0" fontId="48" fillId="0" borderId="0" xfId="82" applyFont="1" applyAlignment="1">
      <alignment horizontal="center" wrapText="1"/>
    </xf>
    <xf numFmtId="165" fontId="46" fillId="0" borderId="0" xfId="82" applyNumberFormat="1" applyFont="1" applyProtection="1">
      <protection locked="0"/>
    </xf>
    <xf numFmtId="9" fontId="57" fillId="38" borderId="0" xfId="82" applyNumberFormat="1" applyFont="1" applyFill="1"/>
    <xf numFmtId="0" fontId="46" fillId="0" borderId="52" xfId="0" applyFont="1" applyBorder="1" applyAlignment="1">
      <alignment horizontal="left"/>
    </xf>
    <xf numFmtId="0" fontId="46" fillId="0" borderId="0" xfId="0" applyFont="1"/>
    <xf numFmtId="0" fontId="29" fillId="0" borderId="16" xfId="0" applyFont="1" applyBorder="1"/>
    <xf numFmtId="0" fontId="27" fillId="24" borderId="52" xfId="0" applyFont="1" applyFill="1" applyBorder="1" applyAlignment="1">
      <alignment horizontal="center" wrapText="1"/>
    </xf>
    <xf numFmtId="3" fontId="44" fillId="24" borderId="11" xfId="0" applyNumberFormat="1" applyFont="1" applyFill="1" applyBorder="1"/>
    <xf numFmtId="0" fontId="44" fillId="0" borderId="0" xfId="0" applyFont="1" applyAlignment="1">
      <alignment horizontal="right" wrapText="1"/>
    </xf>
    <xf numFmtId="0" fontId="0" fillId="0" borderId="26" xfId="0" applyBorder="1" applyAlignment="1">
      <alignment horizontal="center"/>
    </xf>
    <xf numFmtId="0" fontId="0" fillId="0" borderId="65" xfId="0" applyBorder="1" applyAlignment="1">
      <alignment horizontal="center"/>
    </xf>
    <xf numFmtId="0" fontId="0" fillId="0" borderId="64" xfId="0" applyBorder="1" applyAlignment="1">
      <alignment horizontal="center"/>
    </xf>
    <xf numFmtId="0" fontId="0" fillId="0" borderId="27" xfId="0" applyBorder="1" applyAlignment="1">
      <alignment horizontal="center"/>
    </xf>
    <xf numFmtId="0" fontId="0" fillId="0" borderId="15" xfId="0" applyBorder="1" applyAlignment="1">
      <alignment horizontal="center"/>
    </xf>
    <xf numFmtId="0" fontId="0" fillId="0" borderId="14" xfId="0" applyBorder="1" applyAlignment="1">
      <alignment horizontal="left"/>
    </xf>
    <xf numFmtId="9" fontId="0" fillId="0" borderId="30" xfId="0" quotePrefix="1" applyNumberFormat="1" applyBorder="1" applyAlignment="1" applyProtection="1">
      <alignment horizontal="left"/>
      <protection locked="0"/>
    </xf>
    <xf numFmtId="0" fontId="57" fillId="0" borderId="0" xfId="72" applyFont="1" applyAlignment="1" applyProtection="1"/>
    <xf numFmtId="2" fontId="76" fillId="25" borderId="79" xfId="0" applyNumberFormat="1" applyFont="1" applyFill="1" applyBorder="1" applyAlignment="1">
      <alignment vertical="top" wrapText="1" readingOrder="1"/>
    </xf>
    <xf numFmtId="0" fontId="76" fillId="24" borderId="62" xfId="0" applyFont="1" applyFill="1" applyBorder="1" applyAlignment="1">
      <alignment horizontal="center" vertical="center" wrapText="1" readingOrder="1"/>
    </xf>
    <xf numFmtId="0" fontId="76" fillId="24" borderId="63" xfId="0" applyFont="1" applyFill="1" applyBorder="1" applyAlignment="1">
      <alignment horizontal="center" vertical="center" wrapText="1" readingOrder="1"/>
    </xf>
    <xf numFmtId="168" fontId="2" fillId="24" borderId="0" xfId="82" applyNumberFormat="1" applyFill="1"/>
    <xf numFmtId="165" fontId="44" fillId="24" borderId="79" xfId="0" applyNumberFormat="1" applyFont="1" applyFill="1" applyBorder="1"/>
    <xf numFmtId="0" fontId="48" fillId="39" borderId="16" xfId="0" applyFont="1" applyFill="1" applyBorder="1" applyAlignment="1">
      <alignment horizontal="left" vertical="center"/>
    </xf>
    <xf numFmtId="0" fontId="48" fillId="0" borderId="79" xfId="82" applyFont="1" applyBorder="1"/>
    <xf numFmtId="3" fontId="44" fillId="24" borderId="79" xfId="0" applyNumberFormat="1" applyFont="1" applyFill="1" applyBorder="1"/>
    <xf numFmtId="0" fontId="69" fillId="0" borderId="81" xfId="0" applyFont="1" applyBorder="1"/>
    <xf numFmtId="0" fontId="44" fillId="0" borderId="80" xfId="0" applyFont="1" applyBorder="1" applyAlignment="1">
      <alignment horizontal="right"/>
    </xf>
    <xf numFmtId="9" fontId="0" fillId="38" borderId="79" xfId="0" applyNumberFormat="1" applyFill="1" applyBorder="1"/>
    <xf numFmtId="0" fontId="48" fillId="0" borderId="11" xfId="82" applyFont="1" applyBorder="1"/>
    <xf numFmtId="179" fontId="0" fillId="0" borderId="0" xfId="0" applyNumberFormat="1"/>
    <xf numFmtId="0" fontId="0" fillId="0" borderId="79" xfId="0" applyBorder="1"/>
    <xf numFmtId="0" fontId="0" fillId="24" borderId="80" xfId="0" applyFill="1" applyBorder="1" applyAlignment="1">
      <alignment horizontal="center"/>
    </xf>
    <xf numFmtId="0" fontId="28" fillId="24" borderId="0" xfId="72" applyFill="1" applyAlignment="1" applyProtection="1"/>
    <xf numFmtId="0" fontId="48" fillId="24" borderId="11" xfId="82" applyFont="1" applyFill="1" applyBorder="1" applyAlignment="1">
      <alignment horizontal="center" wrapText="1"/>
    </xf>
    <xf numFmtId="0" fontId="48" fillId="24" borderId="79" xfId="82" applyFont="1" applyFill="1" applyBorder="1" applyAlignment="1">
      <alignment horizontal="center" wrapText="1"/>
    </xf>
    <xf numFmtId="9" fontId="0" fillId="0" borderId="83" xfId="0" applyNumberFormat="1" applyBorder="1" applyAlignment="1">
      <alignment horizontal="right"/>
    </xf>
    <xf numFmtId="3" fontId="44" fillId="0" borderId="0" xfId="0" applyNumberFormat="1" applyFont="1" applyAlignment="1" applyProtection="1">
      <alignment horizontal="right"/>
      <protection locked="0"/>
    </xf>
    <xf numFmtId="0" fontId="0" fillId="0" borderId="26" xfId="0" applyBorder="1" applyAlignment="1">
      <alignment wrapText="1"/>
    </xf>
    <xf numFmtId="0" fontId="0" fillId="0" borderId="83" xfId="0" applyBorder="1"/>
    <xf numFmtId="0" fontId="0" fillId="0" borderId="84" xfId="0" applyBorder="1"/>
    <xf numFmtId="0" fontId="0" fillId="24" borderId="79" xfId="0" applyFill="1" applyBorder="1" applyAlignment="1">
      <alignment horizontal="center"/>
    </xf>
    <xf numFmtId="3" fontId="0" fillId="0" borderId="0" xfId="0" applyNumberFormat="1" applyAlignment="1">
      <alignment horizontal="left"/>
    </xf>
    <xf numFmtId="3" fontId="44" fillId="0" borderId="79" xfId="0" applyNumberFormat="1" applyFont="1" applyBorder="1" applyAlignment="1" applyProtection="1">
      <alignment horizontal="right"/>
      <protection locked="0"/>
    </xf>
    <xf numFmtId="3" fontId="0" fillId="38" borderId="79" xfId="0" applyNumberFormat="1" applyFill="1" applyBorder="1" applyAlignment="1">
      <alignment horizontal="right"/>
    </xf>
    <xf numFmtId="3" fontId="44" fillId="38" borderId="79" xfId="0" applyNumberFormat="1" applyFont="1" applyFill="1" applyBorder="1" applyAlignment="1">
      <alignment horizontal="right"/>
    </xf>
    <xf numFmtId="3" fontId="0" fillId="0" borderId="79" xfId="0" applyNumberFormat="1" applyBorder="1" applyAlignment="1">
      <alignment horizontal="right"/>
    </xf>
    <xf numFmtId="0" fontId="44" fillId="0" borderId="33" xfId="0" applyFont="1" applyBorder="1"/>
    <xf numFmtId="0" fontId="0" fillId="0" borderId="85" xfId="0" applyBorder="1"/>
    <xf numFmtId="0" fontId="49" fillId="0" borderId="11" xfId="0" applyFont="1" applyBorder="1" applyAlignment="1">
      <alignment horizontal="left"/>
    </xf>
    <xf numFmtId="169" fontId="49" fillId="0" borderId="0" xfId="0" applyNumberFormat="1" applyFont="1"/>
    <xf numFmtId="2" fontId="0" fillId="0" borderId="0" xfId="92" applyNumberFormat="1" applyFont="1" applyFill="1" applyBorder="1"/>
    <xf numFmtId="0" fontId="0" fillId="24" borderId="83" xfId="0" applyFill="1" applyBorder="1"/>
    <xf numFmtId="0" fontId="64" fillId="38" borderId="79" xfId="0" applyFont="1" applyFill="1" applyBorder="1" applyAlignment="1">
      <alignment horizontal="center" vertical="center" wrapText="1"/>
    </xf>
    <xf numFmtId="0" fontId="27" fillId="0" borderId="79" xfId="72" applyFont="1" applyFill="1" applyBorder="1" applyAlignment="1" applyProtection="1">
      <alignment horizontal="center" vertical="top" wrapText="1"/>
    </xf>
    <xf numFmtId="0" fontId="0" fillId="0" borderId="79" xfId="0" applyBorder="1" applyAlignment="1">
      <alignment horizontal="center" vertical="center" wrapText="1"/>
    </xf>
    <xf numFmtId="3" fontId="44" fillId="0" borderId="0" xfId="0" applyNumberFormat="1" applyFont="1" applyAlignment="1">
      <alignment horizontal="center"/>
    </xf>
    <xf numFmtId="0" fontId="6" fillId="24" borderId="87" xfId="82" applyFont="1" applyFill="1" applyBorder="1"/>
    <xf numFmtId="0" fontId="2" fillId="24" borderId="87" xfId="82" applyFill="1" applyBorder="1"/>
    <xf numFmtId="0" fontId="71" fillId="24" borderId="86" xfId="82" applyFont="1" applyFill="1" applyBorder="1"/>
    <xf numFmtId="0" fontId="28" fillId="0" borderId="10" xfId="72" applyBorder="1" applyAlignment="1" applyProtection="1"/>
    <xf numFmtId="0" fontId="28" fillId="0" borderId="17" xfId="72" applyBorder="1" applyAlignment="1" applyProtection="1"/>
    <xf numFmtId="0" fontId="0" fillId="24" borderId="52" xfId="0" applyFill="1" applyBorder="1"/>
    <xf numFmtId="0" fontId="0" fillId="24" borderId="11" xfId="0" applyFill="1" applyBorder="1" applyAlignment="1">
      <alignment horizontal="center"/>
    </xf>
    <xf numFmtId="0" fontId="28" fillId="0" borderId="18" xfId="72" applyBorder="1" applyAlignment="1" applyProtection="1"/>
    <xf numFmtId="0" fontId="0" fillId="0" borderId="81" xfId="0" applyBorder="1"/>
    <xf numFmtId="0" fontId="39" fillId="36" borderId="52" xfId="0" applyFont="1" applyFill="1" applyBorder="1"/>
    <xf numFmtId="0" fontId="0" fillId="24" borderId="81" xfId="0" applyFill="1" applyBorder="1"/>
    <xf numFmtId="0" fontId="0" fillId="24" borderId="84" xfId="0" applyFill="1" applyBorder="1"/>
    <xf numFmtId="0" fontId="64" fillId="38" borderId="79" xfId="0" applyFont="1" applyFill="1" applyBorder="1" applyAlignment="1">
      <alignment horizontal="center" vertical="center"/>
    </xf>
    <xf numFmtId="0" fontId="65" fillId="42" borderId="79" xfId="0" applyFont="1" applyFill="1" applyBorder="1" applyAlignment="1">
      <alignment horizontal="center" vertical="center" wrapText="1"/>
    </xf>
    <xf numFmtId="0" fontId="0" fillId="0" borderId="52" xfId="0" applyBorder="1" applyAlignment="1">
      <alignment horizontal="center" vertical="center" wrapText="1"/>
    </xf>
    <xf numFmtId="0" fontId="27" fillId="0" borderId="79" xfId="72" applyFont="1" applyFill="1" applyBorder="1" applyAlignment="1" applyProtection="1">
      <alignment horizontal="center" vertical="center" wrapText="1"/>
    </xf>
    <xf numFmtId="0" fontId="0" fillId="0" borderId="79" xfId="72" applyFont="1" applyFill="1" applyBorder="1" applyAlignment="1" applyProtection="1">
      <alignment horizontal="center" vertical="center" wrapText="1"/>
    </xf>
    <xf numFmtId="0" fontId="29" fillId="26" borderId="81" xfId="0" applyFont="1" applyFill="1" applyBorder="1"/>
    <xf numFmtId="0" fontId="29" fillId="26" borderId="83" xfId="0" applyFont="1" applyFill="1" applyBorder="1" applyAlignment="1">
      <alignment horizontal="left"/>
    </xf>
    <xf numFmtId="0" fontId="29" fillId="26" borderId="83" xfId="0" applyFont="1" applyFill="1" applyBorder="1"/>
    <xf numFmtId="0" fontId="29" fillId="26" borderId="84" xfId="0" applyFont="1" applyFill="1" applyBorder="1"/>
    <xf numFmtId="0" fontId="29" fillId="29" borderId="79" xfId="0" applyFont="1" applyFill="1" applyBorder="1" applyAlignment="1">
      <alignment wrapText="1"/>
    </xf>
    <xf numFmtId="0" fontId="29" fillId="29" borderId="79" xfId="0" applyFont="1" applyFill="1" applyBorder="1" applyAlignment="1">
      <alignment horizontal="left"/>
    </xf>
    <xf numFmtId="0" fontId="29" fillId="29" borderId="79" xfId="0" applyFont="1" applyFill="1" applyBorder="1" applyAlignment="1">
      <alignment horizontal="center"/>
    </xf>
    <xf numFmtId="0" fontId="29" fillId="29" borderId="79" xfId="0" applyFont="1" applyFill="1" applyBorder="1"/>
    <xf numFmtId="9" fontId="29" fillId="29" borderId="81" xfId="0" applyNumberFormat="1" applyFont="1" applyFill="1" applyBorder="1" applyAlignment="1">
      <alignment horizontal="center"/>
    </xf>
    <xf numFmtId="0" fontId="32" fillId="26" borderId="80" xfId="0" applyFont="1" applyFill="1" applyBorder="1" applyAlignment="1">
      <alignment horizontal="center" vertical="center" wrapText="1"/>
    </xf>
    <xf numFmtId="0" fontId="32" fillId="0" borderId="79" xfId="0" applyFont="1" applyBorder="1" applyAlignment="1">
      <alignment horizontal="center" vertical="center" wrapText="1"/>
    </xf>
    <xf numFmtId="0" fontId="32" fillId="26" borderId="79" xfId="0" applyFont="1" applyFill="1" applyBorder="1" applyAlignment="1">
      <alignment horizontal="center" vertical="center" wrapText="1"/>
    </xf>
    <xf numFmtId="0" fontId="29" fillId="29" borderId="79" xfId="0" applyFont="1" applyFill="1" applyBorder="1" applyAlignment="1">
      <alignment horizontal="center" wrapText="1"/>
    </xf>
    <xf numFmtId="0" fontId="29" fillId="0" borderId="79" xfId="0" applyFont="1" applyBorder="1" applyAlignment="1">
      <alignment horizontal="left"/>
    </xf>
    <xf numFmtId="166" fontId="29" fillId="0" borderId="79" xfId="56" applyNumberFormat="1" applyFont="1" applyFill="1" applyBorder="1" applyAlignment="1">
      <alignment horizontal="right"/>
    </xf>
    <xf numFmtId="166" fontId="29" fillId="26" borderId="79" xfId="56" applyNumberFormat="1" applyFont="1" applyFill="1" applyBorder="1" applyAlignment="1">
      <alignment horizontal="right"/>
    </xf>
    <xf numFmtId="0" fontId="32" fillId="0" borderId="79" xfId="0" applyFont="1" applyBorder="1" applyAlignment="1">
      <alignment horizontal="left"/>
    </xf>
    <xf numFmtId="166" fontId="32" fillId="0" borderId="79" xfId="56" applyNumberFormat="1" applyFont="1" applyFill="1" applyBorder="1" applyAlignment="1">
      <alignment horizontal="right"/>
    </xf>
    <xf numFmtId="0" fontId="47" fillId="0" borderId="79" xfId="0" applyFont="1" applyBorder="1" applyAlignment="1">
      <alignment horizontal="center"/>
    </xf>
    <xf numFmtId="0" fontId="32" fillId="28" borderId="79" xfId="0" applyFont="1" applyFill="1" applyBorder="1" applyAlignment="1">
      <alignment vertical="center" wrapText="1"/>
    </xf>
    <xf numFmtId="0" fontId="32" fillId="28" borderId="52" xfId="0" applyFont="1" applyFill="1" applyBorder="1" applyAlignment="1">
      <alignment vertical="center" wrapText="1"/>
    </xf>
    <xf numFmtId="0" fontId="32" fillId="28" borderId="52" xfId="0" applyFont="1" applyFill="1" applyBorder="1" applyAlignment="1">
      <alignment horizontal="center" vertical="center" wrapText="1"/>
    </xf>
    <xf numFmtId="0" fontId="32" fillId="28" borderId="83" xfId="0" applyFont="1" applyFill="1" applyBorder="1" applyAlignment="1">
      <alignment horizontal="center" vertical="center" wrapText="1"/>
    </xf>
    <xf numFmtId="0" fontId="32" fillId="30" borderId="81" xfId="0" applyFont="1" applyFill="1" applyBorder="1" applyAlignment="1">
      <alignment vertical="center" wrapText="1"/>
    </xf>
    <xf numFmtId="0" fontId="32" fillId="30" borderId="83" xfId="0" applyFont="1" applyFill="1" applyBorder="1" applyAlignment="1">
      <alignment vertical="center" wrapText="1"/>
    </xf>
    <xf numFmtId="0" fontId="32" fillId="30" borderId="84" xfId="0" applyFont="1" applyFill="1" applyBorder="1" applyAlignment="1">
      <alignment vertical="center" wrapText="1"/>
    </xf>
    <xf numFmtId="0" fontId="32" fillId="27" borderId="83" xfId="0" applyFont="1" applyFill="1" applyBorder="1"/>
    <xf numFmtId="0" fontId="32" fillId="27" borderId="84" xfId="0" applyFont="1" applyFill="1" applyBorder="1"/>
    <xf numFmtId="0" fontId="32" fillId="26" borderId="52" xfId="0" applyFont="1" applyFill="1" applyBorder="1" applyAlignment="1">
      <alignment horizontal="center" vertical="center" wrapText="1"/>
    </xf>
    <xf numFmtId="0" fontId="32" fillId="28" borderId="79" xfId="0" applyFont="1" applyFill="1" applyBorder="1" applyAlignment="1">
      <alignment horizontal="center" vertical="center" wrapText="1"/>
    </xf>
    <xf numFmtId="16" fontId="32" fillId="28" borderId="79" xfId="0" applyNumberFormat="1" applyFont="1" applyFill="1" applyBorder="1" applyAlignment="1">
      <alignment horizontal="center" vertical="center" wrapText="1"/>
    </xf>
    <xf numFmtId="3" fontId="7" fillId="0" borderId="52" xfId="0" applyNumberFormat="1" applyFont="1" applyBorder="1" applyAlignment="1">
      <alignment horizontal="center" wrapText="1"/>
    </xf>
    <xf numFmtId="0" fontId="6" fillId="0" borderId="80" xfId="0" applyFont="1" applyBorder="1"/>
    <xf numFmtId="0" fontId="6" fillId="0" borderId="84" xfId="0" applyFont="1" applyBorder="1"/>
    <xf numFmtId="0" fontId="29" fillId="0" borderId="84" xfId="0" applyFont="1" applyBorder="1"/>
    <xf numFmtId="0" fontId="29" fillId="0" borderId="83" xfId="0" applyFont="1" applyBorder="1"/>
    <xf numFmtId="0" fontId="32" fillId="32" borderId="79" xfId="0" applyFont="1" applyFill="1" applyBorder="1" applyAlignment="1">
      <alignment horizontal="right"/>
    </xf>
    <xf numFmtId="0" fontId="32" fillId="0" borderId="79" xfId="0" applyFont="1" applyBorder="1" applyAlignment="1">
      <alignment horizontal="right"/>
    </xf>
    <xf numFmtId="9" fontId="32" fillId="0" borderId="52" xfId="0" applyNumberFormat="1" applyFont="1" applyBorder="1" applyAlignment="1">
      <alignment horizontal="right"/>
    </xf>
    <xf numFmtId="3" fontId="32" fillId="0" borderId="52" xfId="0" applyNumberFormat="1" applyFont="1" applyBorder="1" applyAlignment="1">
      <alignment horizontal="right"/>
    </xf>
    <xf numFmtId="0" fontId="32" fillId="33" borderId="80" xfId="0" applyFont="1" applyFill="1" applyBorder="1"/>
    <xf numFmtId="0" fontId="32" fillId="0" borderId="80" xfId="0" applyFont="1" applyBorder="1"/>
    <xf numFmtId="0" fontId="7" fillId="0" borderId="84" xfId="0" applyFont="1" applyBorder="1"/>
    <xf numFmtId="3" fontId="7" fillId="0" borderId="84" xfId="0" applyNumberFormat="1" applyFont="1" applyBorder="1"/>
    <xf numFmtId="3" fontId="32" fillId="0" borderId="83" xfId="0" applyNumberFormat="1" applyFont="1" applyBorder="1"/>
    <xf numFmtId="3" fontId="32" fillId="0" borderId="84" xfId="0" applyNumberFormat="1" applyFont="1" applyBorder="1"/>
    <xf numFmtId="3" fontId="7" fillId="0" borderId="83" xfId="0" applyNumberFormat="1" applyFont="1" applyBorder="1"/>
    <xf numFmtId="0" fontId="29" fillId="34" borderId="80" xfId="0" applyFont="1" applyFill="1" applyBorder="1"/>
    <xf numFmtId="3" fontId="6" fillId="0" borderId="84" xfId="0" applyNumberFormat="1" applyFont="1" applyBorder="1"/>
    <xf numFmtId="3" fontId="29" fillId="0" borderId="83" xfId="0" applyNumberFormat="1" applyFont="1" applyBorder="1"/>
    <xf numFmtId="3" fontId="29" fillId="0" borderId="84" xfId="0" applyNumberFormat="1" applyFont="1" applyBorder="1"/>
    <xf numFmtId="0" fontId="7" fillId="0" borderId="79" xfId="0" applyFont="1" applyBorder="1"/>
    <xf numFmtId="3" fontId="29" fillId="0" borderId="80" xfId="0" applyNumberFormat="1" applyFont="1" applyBorder="1"/>
    <xf numFmtId="3" fontId="6" fillId="0" borderId="80" xfId="0" applyNumberFormat="1" applyFont="1" applyBorder="1"/>
    <xf numFmtId="3" fontId="6" fillId="0" borderId="83" xfId="0" applyNumberFormat="1" applyFont="1" applyBorder="1"/>
    <xf numFmtId="0" fontId="29" fillId="31" borderId="81" xfId="0" applyFont="1" applyFill="1" applyBorder="1"/>
    <xf numFmtId="49" fontId="6" fillId="0" borderId="80" xfId="0" applyNumberFormat="1" applyFont="1" applyBorder="1"/>
    <xf numFmtId="0" fontId="6" fillId="0" borderId="83" xfId="0" applyFont="1" applyBorder="1"/>
    <xf numFmtId="3" fontId="29" fillId="0" borderId="81" xfId="0" applyNumberFormat="1" applyFont="1" applyBorder="1"/>
    <xf numFmtId="3" fontId="6" fillId="0" borderId="81" xfId="0" applyNumberFormat="1" applyFont="1" applyBorder="1"/>
    <xf numFmtId="3" fontId="38" fillId="25" borderId="52" xfId="0" applyNumberFormat="1" applyFont="1" applyFill="1" applyBorder="1"/>
    <xf numFmtId="0" fontId="32" fillId="24" borderId="79" xfId="0" applyFont="1" applyFill="1" applyBorder="1" applyAlignment="1">
      <alignment horizontal="center"/>
    </xf>
    <xf numFmtId="0" fontId="44" fillId="24" borderId="79" xfId="0" applyFont="1" applyFill="1" applyBorder="1" applyAlignment="1">
      <alignment horizontal="center"/>
    </xf>
    <xf numFmtId="166" fontId="0" fillId="0" borderId="79" xfId="57" applyNumberFormat="1" applyFont="1" applyFill="1" applyBorder="1"/>
    <xf numFmtId="0" fontId="29" fillId="0" borderId="79" xfId="0" applyFont="1" applyBorder="1"/>
    <xf numFmtId="3" fontId="38" fillId="0" borderId="79" xfId="0" applyNumberFormat="1" applyFont="1" applyBorder="1"/>
    <xf numFmtId="171" fontId="44" fillId="0" borderId="79" xfId="93" applyNumberFormat="1" applyFont="1" applyFill="1" applyBorder="1"/>
    <xf numFmtId="0" fontId="29" fillId="0" borderId="80" xfId="0" applyFont="1" applyBorder="1"/>
    <xf numFmtId="0" fontId="29" fillId="29" borderId="80" xfId="0" applyFont="1" applyFill="1" applyBorder="1"/>
    <xf numFmtId="0" fontId="29" fillId="24" borderId="79" xfId="0" applyFont="1" applyFill="1" applyBorder="1" applyAlignment="1">
      <alignment horizontal="center"/>
    </xf>
    <xf numFmtId="0" fontId="29" fillId="24" borderId="79" xfId="0" applyFont="1" applyFill="1" applyBorder="1"/>
    <xf numFmtId="0" fontId="29" fillId="26" borderId="79" xfId="0" applyFont="1" applyFill="1" applyBorder="1"/>
    <xf numFmtId="10" fontId="29" fillId="38" borderId="79" xfId="92" applyNumberFormat="1" applyFont="1" applyFill="1" applyBorder="1" applyAlignment="1">
      <alignment horizontal="center"/>
    </xf>
    <xf numFmtId="10" fontId="29" fillId="24" borderId="79" xfId="0" applyNumberFormat="1" applyFont="1" applyFill="1" applyBorder="1"/>
    <xf numFmtId="171" fontId="29" fillId="24" borderId="79" xfId="0" applyNumberFormat="1" applyFont="1" applyFill="1" applyBorder="1" applyAlignment="1">
      <alignment horizontal="center"/>
    </xf>
    <xf numFmtId="171" fontId="29" fillId="26" borderId="79" xfId="92" applyNumberFormat="1" applyFont="1" applyFill="1" applyBorder="1"/>
    <xf numFmtId="0" fontId="29" fillId="43" borderId="79" xfId="0" applyFont="1" applyFill="1" applyBorder="1" applyAlignment="1">
      <alignment horizontal="left"/>
    </xf>
    <xf numFmtId="10" fontId="29" fillId="43" borderId="79" xfId="92" applyNumberFormat="1" applyFont="1" applyFill="1" applyBorder="1" applyAlignment="1">
      <alignment horizontal="center"/>
    </xf>
    <xf numFmtId="10" fontId="29" fillId="43" borderId="79" xfId="0" applyNumberFormat="1" applyFont="1" applyFill="1" applyBorder="1"/>
    <xf numFmtId="171" fontId="29" fillId="43" borderId="79" xfId="0" applyNumberFormat="1" applyFont="1" applyFill="1" applyBorder="1" applyAlignment="1">
      <alignment horizontal="center"/>
    </xf>
    <xf numFmtId="171" fontId="29" fillId="43" borderId="79" xfId="92" applyNumberFormat="1" applyFont="1" applyFill="1" applyBorder="1"/>
    <xf numFmtId="0" fontId="29" fillId="0" borderId="52" xfId="0" applyFont="1" applyBorder="1" applyAlignment="1">
      <alignment horizontal="center"/>
    </xf>
    <xf numFmtId="0" fontId="29" fillId="24" borderId="79" xfId="0" applyFont="1" applyFill="1" applyBorder="1" applyAlignment="1">
      <alignment horizontal="center" wrapText="1"/>
    </xf>
    <xf numFmtId="0" fontId="29" fillId="41" borderId="79" xfId="0" applyFont="1" applyFill="1" applyBorder="1" applyAlignment="1">
      <alignment horizontal="center" wrapText="1"/>
    </xf>
    <xf numFmtId="10" fontId="29" fillId="24" borderId="79" xfId="92" applyNumberFormat="1" applyFont="1" applyFill="1" applyBorder="1" applyAlignment="1">
      <alignment horizontal="center"/>
    </xf>
    <xf numFmtId="171" fontId="29" fillId="41" borderId="79" xfId="0" applyNumberFormat="1" applyFont="1" applyFill="1" applyBorder="1" applyAlignment="1">
      <alignment horizontal="center"/>
    </xf>
    <xf numFmtId="0" fontId="0" fillId="35" borderId="80" xfId="0" applyFill="1" applyBorder="1"/>
    <xf numFmtId="0" fontId="0" fillId="27" borderId="80" xfId="0" applyFill="1" applyBorder="1"/>
    <xf numFmtId="0" fontId="44" fillId="0" borderId="81" xfId="0" applyFont="1" applyBorder="1"/>
    <xf numFmtId="0" fontId="49" fillId="38" borderId="79" xfId="0" applyFont="1" applyFill="1" applyBorder="1" applyAlignment="1" applyProtection="1">
      <alignment horizontal="center" vertical="center" wrapText="1"/>
      <protection locked="0"/>
    </xf>
    <xf numFmtId="3" fontId="0" fillId="0" borderId="79" xfId="0" applyNumberFormat="1" applyBorder="1"/>
    <xf numFmtId="10" fontId="0" fillId="38" borderId="79" xfId="92" applyNumberFormat="1" applyFont="1" applyFill="1" applyBorder="1" applyProtection="1">
      <protection locked="0"/>
    </xf>
    <xf numFmtId="166" fontId="0" fillId="38" borderId="79" xfId="56" applyNumberFormat="1" applyFont="1" applyFill="1" applyBorder="1" applyAlignment="1" applyProtection="1">
      <alignment horizontal="right"/>
      <protection locked="0"/>
    </xf>
    <xf numFmtId="0" fontId="39" fillId="37" borderId="79" xfId="0" applyFont="1" applyFill="1" applyBorder="1" applyAlignment="1">
      <alignment horizontal="center" wrapText="1"/>
    </xf>
    <xf numFmtId="0" fontId="0" fillId="24" borderId="79" xfId="0" applyFill="1" applyBorder="1" applyAlignment="1">
      <alignment horizontal="center" wrapText="1"/>
    </xf>
    <xf numFmtId="3" fontId="0" fillId="24" borderId="79" xfId="0" applyNumberFormat="1" applyFill="1" applyBorder="1"/>
    <xf numFmtId="0" fontId="0" fillId="24" borderId="79" xfId="0" applyFill="1" applyBorder="1"/>
    <xf numFmtId="3" fontId="0" fillId="38" borderId="79" xfId="0" applyNumberFormat="1" applyFill="1" applyBorder="1"/>
    <xf numFmtId="0" fontId="0" fillId="0" borderId="81" xfId="0" applyBorder="1" applyAlignment="1">
      <alignment wrapText="1"/>
    </xf>
    <xf numFmtId="10" fontId="0" fillId="38" borderId="80" xfId="92" applyNumberFormat="1" applyFont="1" applyFill="1" applyBorder="1" applyProtection="1">
      <protection locked="0"/>
    </xf>
    <xf numFmtId="3" fontId="0" fillId="38" borderId="80" xfId="0" applyNumberFormat="1" applyFill="1" applyBorder="1" applyProtection="1">
      <protection locked="0"/>
    </xf>
    <xf numFmtId="3" fontId="0" fillId="38" borderId="79" xfId="0" applyNumberFormat="1" applyFill="1" applyBorder="1" applyProtection="1">
      <protection locked="0"/>
    </xf>
    <xf numFmtId="3" fontId="44" fillId="0" borderId="79" xfId="0" applyNumberFormat="1" applyFont="1" applyBorder="1"/>
    <xf numFmtId="166" fontId="27" fillId="38" borderId="79" xfId="56" applyNumberFormat="1" applyFont="1" applyFill="1" applyBorder="1" applyAlignment="1" applyProtection="1">
      <alignment horizontal="right"/>
      <protection locked="0"/>
    </xf>
    <xf numFmtId="0" fontId="39" fillId="36" borderId="79" xfId="0" applyFont="1" applyFill="1" applyBorder="1" applyAlignment="1">
      <alignment horizontal="center" wrapText="1"/>
    </xf>
    <xf numFmtId="10" fontId="0" fillId="38" borderId="79" xfId="92" applyNumberFormat="1" applyFont="1" applyFill="1" applyBorder="1"/>
    <xf numFmtId="10" fontId="0" fillId="0" borderId="79" xfId="92" applyNumberFormat="1" applyFont="1" applyFill="1" applyBorder="1"/>
    <xf numFmtId="0" fontId="44" fillId="24" borderId="79" xfId="0" applyFont="1" applyFill="1" applyBorder="1" applyAlignment="1">
      <alignment horizontal="center" wrapText="1"/>
    </xf>
    <xf numFmtId="0" fontId="44" fillId="24" borderId="81" xfId="0" applyFont="1" applyFill="1" applyBorder="1"/>
    <xf numFmtId="0" fontId="44" fillId="0" borderId="83" xfId="0" applyFont="1" applyBorder="1"/>
    <xf numFmtId="0" fontId="0" fillId="0" borderId="79" xfId="0" applyBorder="1" applyAlignment="1">
      <alignment horizontal="left"/>
    </xf>
    <xf numFmtId="0" fontId="0" fillId="0" borderId="79" xfId="0" applyBorder="1" applyAlignment="1">
      <alignment horizontal="left" wrapText="1"/>
    </xf>
    <xf numFmtId="9" fontId="0" fillId="0" borderId="79" xfId="0" applyNumberFormat="1" applyBorder="1" applyAlignment="1" applyProtection="1">
      <alignment horizontal="right"/>
      <protection locked="0"/>
    </xf>
    <xf numFmtId="0" fontId="44" fillId="0" borderId="79" xfId="0" applyFont="1" applyBorder="1" applyAlignment="1">
      <alignment horizontal="left"/>
    </xf>
    <xf numFmtId="9" fontId="0" fillId="0" borderId="79" xfId="0" applyNumberFormat="1" applyBorder="1" applyAlignment="1">
      <alignment horizontal="right"/>
    </xf>
    <xf numFmtId="0" fontId="40" fillId="36" borderId="79" xfId="0" applyFont="1" applyFill="1" applyBorder="1" applyAlignment="1">
      <alignment vertical="center"/>
    </xf>
    <xf numFmtId="0" fontId="49" fillId="0" borderId="79" xfId="0" applyFont="1" applyBorder="1"/>
    <xf numFmtId="0" fontId="48" fillId="24" borderId="79" xfId="82" applyFont="1" applyFill="1" applyBorder="1" applyAlignment="1">
      <alignment horizontal="center"/>
    </xf>
    <xf numFmtId="0" fontId="48" fillId="24" borderId="79" xfId="82" applyFont="1" applyFill="1" applyBorder="1" applyAlignment="1">
      <alignment horizontal="left"/>
    </xf>
    <xf numFmtId="0" fontId="46" fillId="38" borderId="79" xfId="82" applyFont="1" applyFill="1" applyBorder="1" applyProtection="1">
      <protection locked="0"/>
    </xf>
    <xf numFmtId="166" fontId="46" fillId="38" borderId="79" xfId="56" applyNumberFormat="1" applyFont="1" applyFill="1" applyBorder="1" applyAlignment="1" applyProtection="1">
      <alignment horizontal="center"/>
      <protection locked="0"/>
    </xf>
    <xf numFmtId="166" fontId="6" fillId="38" borderId="52" xfId="56" applyNumberFormat="1" applyFont="1" applyFill="1" applyBorder="1" applyProtection="1">
      <protection locked="0"/>
    </xf>
    <xf numFmtId="165" fontId="46" fillId="38" borderId="79" xfId="82" applyNumberFormat="1" applyFont="1" applyFill="1" applyBorder="1" applyProtection="1">
      <protection locked="0"/>
    </xf>
    <xf numFmtId="0" fontId="78" fillId="24" borderId="79" xfId="82" applyFont="1" applyFill="1" applyBorder="1" applyAlignment="1">
      <alignment horizontal="center" wrapText="1"/>
    </xf>
    <xf numFmtId="0" fontId="46" fillId="0" borderId="79" xfId="82" applyFont="1" applyBorder="1" applyProtection="1">
      <protection locked="0"/>
    </xf>
    <xf numFmtId="10" fontId="46" fillId="38" borderId="79" xfId="92" applyNumberFormat="1" applyFont="1" applyFill="1" applyBorder="1" applyProtection="1">
      <protection locked="0"/>
    </xf>
    <xf numFmtId="2" fontId="46" fillId="38" borderId="79" xfId="92" applyNumberFormat="1" applyFont="1" applyFill="1" applyBorder="1" applyProtection="1">
      <protection locked="0"/>
    </xf>
    <xf numFmtId="168" fontId="46" fillId="38" borderId="79" xfId="82" applyNumberFormat="1" applyFont="1" applyFill="1" applyBorder="1" applyProtection="1">
      <protection locked="0"/>
    </xf>
    <xf numFmtId="0" fontId="44" fillId="24" borderId="79" xfId="0" applyFont="1" applyFill="1" applyBorder="1"/>
    <xf numFmtId="164" fontId="57" fillId="38" borderId="79" xfId="82" applyNumberFormat="1" applyFont="1" applyFill="1" applyBorder="1" applyProtection="1">
      <protection locked="0"/>
    </xf>
    <xf numFmtId="9" fontId="57" fillId="38" borderId="79" xfId="92" applyFont="1" applyFill="1" applyBorder="1" applyProtection="1">
      <protection locked="0"/>
    </xf>
    <xf numFmtId="0" fontId="27" fillId="24" borderId="79" xfId="0" applyFont="1" applyFill="1" applyBorder="1" applyAlignment="1">
      <alignment horizontal="center" wrapText="1"/>
    </xf>
    <xf numFmtId="0" fontId="44" fillId="24" borderId="79" xfId="82" applyFont="1" applyFill="1" applyBorder="1"/>
    <xf numFmtId="0" fontId="44" fillId="24" borderId="79" xfId="82" applyFont="1" applyFill="1" applyBorder="1" applyAlignment="1">
      <alignment wrapText="1"/>
    </xf>
    <xf numFmtId="0" fontId="0" fillId="24" borderId="79" xfId="0" quotePrefix="1" applyFill="1" applyBorder="1" applyAlignment="1">
      <alignment horizontal="center"/>
    </xf>
    <xf numFmtId="165" fontId="0" fillId="0" borderId="79" xfId="56" applyNumberFormat="1" applyFont="1" applyBorder="1"/>
    <xf numFmtId="165" fontId="44" fillId="0" borderId="79" xfId="56" applyNumberFormat="1" applyFont="1" applyBorder="1"/>
    <xf numFmtId="0" fontId="48" fillId="0" borderId="79" xfId="0" applyFont="1" applyBorder="1" applyAlignment="1">
      <alignment horizontal="left"/>
    </xf>
    <xf numFmtId="0" fontId="0" fillId="38" borderId="79" xfId="0" applyFill="1" applyBorder="1" applyAlignment="1" applyProtection="1">
      <alignment horizontal="right"/>
      <protection locked="0"/>
    </xf>
    <xf numFmtId="0" fontId="44" fillId="0" borderId="79" xfId="82" applyFont="1" applyBorder="1"/>
    <xf numFmtId="165" fontId="0" fillId="0" borderId="79" xfId="0" quotePrefix="1" applyNumberFormat="1" applyBorder="1" applyAlignment="1">
      <alignment horizontal="right"/>
    </xf>
    <xf numFmtId="165" fontId="44" fillId="0" borderId="79" xfId="56" applyNumberFormat="1" applyFont="1" applyFill="1" applyBorder="1"/>
    <xf numFmtId="0" fontId="39" fillId="24" borderId="52" xfId="0" applyFont="1" applyFill="1" applyBorder="1" applyAlignment="1">
      <alignment horizontal="center" wrapText="1"/>
    </xf>
    <xf numFmtId="0" fontId="44" fillId="24" borderId="52" xfId="82" applyFont="1" applyFill="1" applyBorder="1"/>
    <xf numFmtId="0" fontId="0" fillId="24" borderId="52" xfId="0" applyFill="1" applyBorder="1" applyAlignment="1">
      <alignment horizontal="center" wrapText="1"/>
    </xf>
    <xf numFmtId="0" fontId="44" fillId="0" borderId="52" xfId="82" applyFont="1" applyBorder="1"/>
    <xf numFmtId="3" fontId="44" fillId="0" borderId="79" xfId="0" applyNumberFormat="1" applyFont="1" applyBorder="1" applyAlignment="1">
      <alignment horizontal="right" wrapText="1"/>
    </xf>
    <xf numFmtId="3" fontId="44" fillId="0" borderId="52" xfId="0" applyNumberFormat="1" applyFont="1" applyBorder="1"/>
    <xf numFmtId="0" fontId="39" fillId="37" borderId="52" xfId="0" applyFont="1" applyFill="1" applyBorder="1"/>
    <xf numFmtId="0" fontId="44" fillId="24" borderId="79" xfId="0" applyFont="1" applyFill="1" applyBorder="1" applyAlignment="1">
      <alignment horizontal="left"/>
    </xf>
    <xf numFmtId="165" fontId="27" fillId="24" borderId="80" xfId="0" applyNumberFormat="1" applyFont="1" applyFill="1" applyBorder="1" applyAlignment="1">
      <alignment horizontal="center" wrapText="1"/>
    </xf>
    <xf numFmtId="0" fontId="27" fillId="24" borderId="79" xfId="0" quotePrefix="1" applyFont="1" applyFill="1" applyBorder="1" applyAlignment="1">
      <alignment horizontal="center"/>
    </xf>
    <xf numFmtId="165" fontId="27" fillId="0" borderId="79" xfId="0" applyNumberFormat="1" applyFont="1" applyBorder="1"/>
    <xf numFmtId="0" fontId="44" fillId="24" borderId="52" xfId="0" applyFont="1" applyFill="1" applyBorder="1"/>
    <xf numFmtId="0" fontId="40" fillId="36" borderId="79" xfId="0" applyFont="1" applyFill="1" applyBorder="1" applyAlignment="1">
      <alignment vertical="center" wrapText="1"/>
    </xf>
    <xf numFmtId="165" fontId="27" fillId="24" borderId="52" xfId="0" applyNumberFormat="1" applyFont="1" applyFill="1" applyBorder="1" applyAlignment="1">
      <alignment wrapText="1"/>
    </xf>
    <xf numFmtId="0" fontId="39" fillId="36" borderId="83" xfId="0" applyFont="1" applyFill="1" applyBorder="1" applyAlignment="1">
      <alignment horizontal="center" wrapText="1"/>
    </xf>
    <xf numFmtId="3" fontId="46" fillId="0" borderId="83" xfId="0" applyNumberFormat="1" applyFont="1" applyBorder="1" applyAlignment="1">
      <alignment horizontal="center" wrapText="1"/>
    </xf>
    <xf numFmtId="0" fontId="39" fillId="0" borderId="83" xfId="0" applyFont="1" applyBorder="1" applyAlignment="1">
      <alignment horizontal="center" wrapText="1"/>
    </xf>
    <xf numFmtId="0" fontId="27" fillId="0" borderId="79" xfId="0" applyFont="1" applyBorder="1" applyAlignment="1">
      <alignment horizontal="center" wrapText="1"/>
    </xf>
    <xf numFmtId="3" fontId="46" fillId="0" borderId="83" xfId="0" applyNumberFormat="1" applyFont="1" applyBorder="1" applyAlignment="1">
      <alignment horizontal="right" wrapText="1"/>
    </xf>
    <xf numFmtId="3" fontId="46" fillId="0" borderId="79" xfId="0" applyNumberFormat="1" applyFont="1" applyBorder="1" applyAlignment="1">
      <alignment horizontal="right" wrapText="1"/>
    </xf>
    <xf numFmtId="165" fontId="44" fillId="0" borderId="52" xfId="0" applyNumberFormat="1" applyFont="1" applyBorder="1"/>
    <xf numFmtId="0" fontId="39" fillId="24" borderId="52" xfId="0" applyFont="1" applyFill="1" applyBorder="1"/>
    <xf numFmtId="3" fontId="27" fillId="0" borderId="79" xfId="0" applyNumberFormat="1" applyFont="1" applyBorder="1"/>
    <xf numFmtId="0" fontId="27" fillId="0" borderId="84" xfId="0" applyFont="1" applyBorder="1"/>
    <xf numFmtId="0" fontId="48" fillId="24" borderId="52" xfId="0" applyFont="1" applyFill="1" applyBorder="1" applyAlignment="1">
      <alignment horizontal="right"/>
    </xf>
    <xf numFmtId="165" fontId="44" fillId="24" borderId="52" xfId="0" applyNumberFormat="1" applyFont="1" applyFill="1" applyBorder="1"/>
    <xf numFmtId="165" fontId="44" fillId="0" borderId="79" xfId="0" applyNumberFormat="1" applyFont="1" applyBorder="1"/>
    <xf numFmtId="0" fontId="58" fillId="24" borderId="52" xfId="0" applyFont="1" applyFill="1" applyBorder="1"/>
    <xf numFmtId="0" fontId="0" fillId="39" borderId="52" xfId="0" applyFill="1" applyBorder="1"/>
    <xf numFmtId="3" fontId="0" fillId="39" borderId="79" xfId="0" applyNumberFormat="1" applyFill="1" applyBorder="1"/>
    <xf numFmtId="165" fontId="0" fillId="0" borderId="79" xfId="0" applyNumberFormat="1" applyBorder="1"/>
    <xf numFmtId="0" fontId="39" fillId="24" borderId="79" xfId="0" applyFont="1" applyFill="1" applyBorder="1"/>
    <xf numFmtId="3" fontId="0" fillId="40" borderId="79" xfId="0" applyNumberFormat="1" applyFill="1" applyBorder="1"/>
    <xf numFmtId="0" fontId="0" fillId="31" borderId="52" xfId="0" applyFill="1" applyBorder="1"/>
    <xf numFmtId="3" fontId="0" fillId="31" borderId="79" xfId="0" applyNumberFormat="1" applyFill="1" applyBorder="1"/>
    <xf numFmtId="0" fontId="44" fillId="0" borderId="52" xfId="0" applyFont="1" applyBorder="1"/>
    <xf numFmtId="0" fontId="39" fillId="39" borderId="52" xfId="0" applyFont="1" applyFill="1" applyBorder="1"/>
    <xf numFmtId="165" fontId="44" fillId="24" borderId="79" xfId="0" applyNumberFormat="1" applyFont="1" applyFill="1" applyBorder="1" applyAlignment="1">
      <alignment horizontal="center" wrapText="1"/>
    </xf>
    <xf numFmtId="0" fontId="46" fillId="24" borderId="79" xfId="0" applyFont="1" applyFill="1" applyBorder="1" applyAlignment="1">
      <alignment horizontal="center" wrapText="1"/>
    </xf>
    <xf numFmtId="0" fontId="0" fillId="24" borderId="84" xfId="0" applyFill="1" applyBorder="1" applyAlignment="1">
      <alignment horizontal="center" wrapText="1"/>
    </xf>
    <xf numFmtId="0" fontId="0" fillId="24" borderId="80" xfId="0" applyFill="1" applyBorder="1" applyAlignment="1">
      <alignment horizontal="center" wrapText="1"/>
    </xf>
    <xf numFmtId="164" fontId="46" fillId="0" borderId="79" xfId="0" applyNumberFormat="1" applyFont="1" applyBorder="1"/>
    <xf numFmtId="165" fontId="46" fillId="0" borderId="79" xfId="0" applyNumberFormat="1" applyFont="1" applyBorder="1"/>
    <xf numFmtId="0" fontId="48" fillId="24" borderId="79" xfId="0" applyFont="1" applyFill="1" applyBorder="1" applyAlignment="1">
      <alignment horizontal="left" vertical="center" wrapText="1"/>
    </xf>
    <xf numFmtId="0" fontId="48" fillId="24" borderId="52" xfId="0" applyFont="1" applyFill="1" applyBorder="1" applyAlignment="1">
      <alignment horizontal="right" vertical="center"/>
    </xf>
    <xf numFmtId="0" fontId="0" fillId="40" borderId="79" xfId="0" applyFill="1" applyBorder="1" applyAlignment="1">
      <alignment horizontal="left"/>
    </xf>
    <xf numFmtId="164" fontId="0" fillId="0" borderId="79" xfId="0" applyNumberFormat="1" applyBorder="1"/>
    <xf numFmtId="0" fontId="48" fillId="24" borderId="52" xfId="0" applyFont="1" applyFill="1" applyBorder="1" applyAlignment="1">
      <alignment horizontal="left" vertical="center" wrapText="1"/>
    </xf>
    <xf numFmtId="0" fontId="44" fillId="40" borderId="84" xfId="0" applyFont="1" applyFill="1" applyBorder="1"/>
    <xf numFmtId="0" fontId="39" fillId="31" borderId="52" xfId="0" applyFont="1" applyFill="1" applyBorder="1"/>
    <xf numFmtId="0" fontId="0" fillId="31" borderId="84" xfId="0" applyFill="1" applyBorder="1"/>
    <xf numFmtId="170" fontId="46" fillId="0" borderId="79" xfId="82" applyNumberFormat="1" applyFont="1" applyBorder="1"/>
    <xf numFmtId="3" fontId="46" fillId="0" borderId="79" xfId="82" applyNumberFormat="1" applyFont="1" applyBorder="1" applyAlignment="1">
      <alignment horizontal="right"/>
    </xf>
    <xf numFmtId="9" fontId="0" fillId="0" borderId="79" xfId="0" applyNumberFormat="1" applyBorder="1"/>
    <xf numFmtId="170" fontId="46" fillId="0" borderId="80" xfId="82" applyNumberFormat="1" applyFont="1" applyBorder="1"/>
    <xf numFmtId="0" fontId="0" fillId="0" borderId="14" xfId="0" applyBorder="1" applyAlignment="1">
      <alignment horizontal="left" wrapText="1"/>
    </xf>
    <xf numFmtId="3" fontId="44" fillId="38" borderId="79" xfId="92" applyNumberFormat="1" applyFont="1" applyFill="1" applyBorder="1"/>
    <xf numFmtId="0" fontId="0" fillId="39" borderId="79" xfId="0" applyFill="1" applyBorder="1" applyAlignment="1">
      <alignment horizontal="center" wrapText="1"/>
    </xf>
    <xf numFmtId="9" fontId="0" fillId="38" borderId="88" xfId="0" applyNumberFormat="1" applyFill="1" applyBorder="1" applyAlignment="1" applyProtection="1">
      <alignment horizontal="right"/>
      <protection locked="0"/>
    </xf>
    <xf numFmtId="3" fontId="0" fillId="38" borderId="30" xfId="0" applyNumberFormat="1" applyFill="1" applyBorder="1" applyAlignment="1">
      <alignment horizontal="right"/>
    </xf>
    <xf numFmtId="0" fontId="0" fillId="0" borderId="32" xfId="0" applyBorder="1" applyAlignment="1">
      <alignment horizontal="center"/>
    </xf>
    <xf numFmtId="9" fontId="44" fillId="0" borderId="31" xfId="0" applyNumberFormat="1" applyFont="1" applyBorder="1" applyAlignment="1" applyProtection="1">
      <alignment horizontal="right"/>
      <protection locked="0"/>
    </xf>
    <xf numFmtId="3" fontId="44" fillId="0" borderId="79" xfId="0" applyNumberFormat="1" applyFont="1" applyBorder="1" applyAlignment="1">
      <alignment horizontal="right"/>
    </xf>
    <xf numFmtId="9" fontId="0" fillId="38" borderId="79" xfId="0" applyNumberFormat="1" applyFill="1" applyBorder="1" applyAlignment="1" applyProtection="1">
      <alignment horizontal="right"/>
      <protection locked="0"/>
    </xf>
    <xf numFmtId="9" fontId="44" fillId="0" borderId="79" xfId="0" applyNumberFormat="1" applyFont="1" applyBorder="1" applyAlignment="1" applyProtection="1">
      <alignment horizontal="right"/>
      <protection locked="0"/>
    </xf>
    <xf numFmtId="3" fontId="0" fillId="38" borderId="73" xfId="0" applyNumberFormat="1" applyFill="1" applyBorder="1" applyAlignment="1">
      <alignment horizontal="right"/>
    </xf>
    <xf numFmtId="0" fontId="0" fillId="0" borderId="80" xfId="0" applyBorder="1" applyAlignment="1">
      <alignment horizontal="left"/>
    </xf>
    <xf numFmtId="9" fontId="44" fillId="0" borderId="0" xfId="0" applyNumberFormat="1" applyFont="1" applyAlignment="1" applyProtection="1">
      <alignment horizontal="right"/>
      <protection locked="0"/>
    </xf>
    <xf numFmtId="0" fontId="0" fillId="0" borderId="31" xfId="0" applyBorder="1" applyAlignment="1">
      <alignment horizontal="center"/>
    </xf>
    <xf numFmtId="0" fontId="0" fillId="0" borderId="31" xfId="0" applyBorder="1" applyAlignment="1">
      <alignment horizontal="center" wrapText="1"/>
    </xf>
    <xf numFmtId="3" fontId="44" fillId="0" borderId="0" xfId="0" applyNumberFormat="1" applyFont="1" applyAlignment="1">
      <alignment horizontal="left"/>
    </xf>
    <xf numFmtId="3" fontId="0" fillId="0" borderId="89" xfId="0" applyNumberFormat="1" applyBorder="1" applyAlignment="1">
      <alignment horizontal="right"/>
    </xf>
    <xf numFmtId="0" fontId="57" fillId="0" borderId="0" xfId="72" applyFont="1" applyFill="1" applyBorder="1" applyAlignment="1" applyProtection="1">
      <alignment horizontal="left"/>
    </xf>
    <xf numFmtId="0" fontId="57" fillId="0" borderId="0" xfId="72" applyFont="1" applyFill="1" applyBorder="1" applyAlignment="1" applyProtection="1"/>
    <xf numFmtId="0" fontId="57" fillId="0" borderId="14" xfId="72" applyFont="1" applyFill="1" applyBorder="1" applyAlignment="1" applyProtection="1">
      <alignment wrapText="1"/>
    </xf>
    <xf numFmtId="9" fontId="44" fillId="0" borderId="79" xfId="0" applyNumberFormat="1" applyFont="1" applyBorder="1"/>
    <xf numFmtId="0" fontId="78" fillId="0" borderId="0" xfId="72" applyFont="1" applyFill="1" applyBorder="1" applyAlignment="1" applyProtection="1">
      <alignment horizontal="left"/>
    </xf>
    <xf numFmtId="0" fontId="78" fillId="0" borderId="0" xfId="72" applyFont="1" applyFill="1" applyBorder="1" applyAlignment="1" applyProtection="1"/>
    <xf numFmtId="0" fontId="78" fillId="0" borderId="14" xfId="72" applyFont="1" applyFill="1" applyBorder="1" applyAlignment="1" applyProtection="1"/>
    <xf numFmtId="0" fontId="48" fillId="0" borderId="16" xfId="82" applyFont="1" applyBorder="1"/>
    <xf numFmtId="3" fontId="44" fillId="0" borderId="16" xfId="0" applyNumberFormat="1" applyFont="1" applyBorder="1"/>
    <xf numFmtId="165" fontId="48" fillId="24" borderId="52" xfId="0" applyNumberFormat="1" applyFont="1" applyFill="1" applyBorder="1" applyAlignment="1">
      <alignment horizontal="right"/>
    </xf>
    <xf numFmtId="165" fontId="48" fillId="24" borderId="19" xfId="0" applyNumberFormat="1" applyFont="1" applyFill="1" applyBorder="1" applyAlignment="1">
      <alignment horizontal="right" vertical="center"/>
    </xf>
    <xf numFmtId="164" fontId="0" fillId="24" borderId="79" xfId="0" applyNumberFormat="1" applyFill="1" applyBorder="1"/>
    <xf numFmtId="165" fontId="0" fillId="24" borderId="79" xfId="0" applyNumberFormat="1" applyFill="1" applyBorder="1"/>
    <xf numFmtId="0" fontId="83" fillId="0" borderId="0" xfId="72" applyFont="1" applyFill="1" applyAlignment="1" applyProtection="1"/>
    <xf numFmtId="0" fontId="46" fillId="0" borderId="79" xfId="72" applyFont="1" applyFill="1" applyBorder="1" applyAlignment="1" applyProtection="1"/>
    <xf numFmtId="3" fontId="0" fillId="0" borderId="0" xfId="0" applyNumberFormat="1" applyAlignment="1" applyProtection="1">
      <alignment horizontal="right"/>
      <protection locked="0"/>
    </xf>
    <xf numFmtId="3" fontId="44" fillId="0" borderId="79" xfId="92" applyNumberFormat="1" applyFont="1" applyBorder="1" applyAlignment="1" applyProtection="1">
      <alignment horizontal="right"/>
      <protection locked="0"/>
    </xf>
    <xf numFmtId="3" fontId="0" fillId="0" borderId="26" xfId="0" applyNumberFormat="1" applyBorder="1" applyAlignment="1" applyProtection="1">
      <alignment horizontal="right"/>
      <protection locked="0"/>
    </xf>
    <xf numFmtId="165" fontId="0" fillId="25" borderId="79" xfId="0" applyNumberFormat="1" applyFill="1" applyBorder="1"/>
    <xf numFmtId="165" fontId="44" fillId="25" borderId="79" xfId="0" applyNumberFormat="1" applyFont="1" applyFill="1" applyBorder="1"/>
    <xf numFmtId="164" fontId="46" fillId="24" borderId="79" xfId="0" applyNumberFormat="1" applyFont="1" applyFill="1" applyBorder="1"/>
    <xf numFmtId="165" fontId="46" fillId="24" borderId="79" xfId="0" applyNumberFormat="1" applyFont="1" applyFill="1" applyBorder="1"/>
    <xf numFmtId="0" fontId="82" fillId="0" borderId="0" xfId="0" applyFont="1" applyAlignment="1">
      <alignment horizontal="left" vertical="center" wrapText="1"/>
    </xf>
    <xf numFmtId="3" fontId="0" fillId="38" borderId="16" xfId="0" applyNumberFormat="1" applyFill="1" applyBorder="1" applyProtection="1">
      <protection locked="0"/>
    </xf>
    <xf numFmtId="3" fontId="44" fillId="38" borderId="80" xfId="92" applyNumberFormat="1" applyFont="1" applyFill="1" applyBorder="1"/>
    <xf numFmtId="3" fontId="0" fillId="0" borderId="15" xfId="0" applyNumberFormat="1" applyBorder="1"/>
    <xf numFmtId="0" fontId="0" fillId="38" borderId="11" xfId="0" applyFill="1" applyBorder="1" applyProtection="1">
      <protection locked="0"/>
    </xf>
    <xf numFmtId="0" fontId="0" fillId="38" borderId="79" xfId="0" applyFill="1" applyBorder="1" applyProtection="1">
      <protection locked="0"/>
    </xf>
    <xf numFmtId="164" fontId="0" fillId="38" borderId="79" xfId="0" applyNumberFormat="1" applyFill="1" applyBorder="1" applyProtection="1">
      <protection locked="0"/>
    </xf>
    <xf numFmtId="0" fontId="0" fillId="40" borderId="79" xfId="0" applyFill="1" applyBorder="1" applyAlignment="1">
      <alignment horizontal="center" wrapText="1"/>
    </xf>
    <xf numFmtId="0" fontId="0" fillId="38" borderId="15" xfId="0" applyFill="1" applyBorder="1" applyProtection="1">
      <protection locked="0"/>
    </xf>
    <xf numFmtId="0" fontId="0" fillId="24" borderId="82" xfId="0" applyFill="1" applyBorder="1" applyProtection="1">
      <protection locked="0"/>
    </xf>
    <xf numFmtId="0" fontId="0" fillId="38" borderId="82" xfId="0" applyFill="1" applyBorder="1" applyProtection="1">
      <protection locked="0"/>
    </xf>
    <xf numFmtId="0" fontId="0" fillId="38" borderId="76" xfId="0" applyFill="1" applyBorder="1" applyProtection="1">
      <protection locked="0"/>
    </xf>
    <xf numFmtId="0" fontId="0" fillId="0" borderId="83" xfId="0" applyBorder="1" applyAlignment="1">
      <alignment horizontal="left"/>
    </xf>
    <xf numFmtId="0" fontId="0" fillId="0" borderId="84" xfId="0" applyBorder="1" applyAlignment="1">
      <alignment horizontal="left"/>
    </xf>
    <xf numFmtId="0" fontId="0" fillId="0" borderId="11" xfId="0" applyBorder="1" applyAlignment="1">
      <alignment horizontal="left" wrapText="1"/>
    </xf>
    <xf numFmtId="9" fontId="0" fillId="38" borderId="78" xfId="0" applyNumberFormat="1" applyFill="1" applyBorder="1" applyAlignment="1" applyProtection="1">
      <alignment horizontal="right"/>
      <protection locked="0"/>
    </xf>
    <xf numFmtId="0" fontId="0" fillId="0" borderId="15" xfId="0" applyBorder="1"/>
    <xf numFmtId="0" fontId="69" fillId="0" borderId="10" xfId="0" applyFont="1" applyBorder="1"/>
    <xf numFmtId="9" fontId="0" fillId="38" borderId="15" xfId="0" applyNumberFormat="1" applyFill="1" applyBorder="1" applyAlignment="1" applyProtection="1">
      <alignment horizontal="right"/>
      <protection locked="0"/>
    </xf>
    <xf numFmtId="9" fontId="0" fillId="0" borderId="16" xfId="0" applyNumberFormat="1" applyBorder="1" applyAlignment="1" applyProtection="1">
      <alignment horizontal="right"/>
      <protection locked="0"/>
    </xf>
    <xf numFmtId="0" fontId="84" fillId="24" borderId="80" xfId="82" applyFont="1" applyFill="1" applyBorder="1"/>
    <xf numFmtId="0" fontId="84" fillId="24" borderId="13" xfId="82" applyFont="1" applyFill="1" applyBorder="1"/>
    <xf numFmtId="0" fontId="84" fillId="24" borderId="15" xfId="82" applyFont="1" applyFill="1" applyBorder="1"/>
    <xf numFmtId="0" fontId="67" fillId="0" borderId="0" xfId="72" applyFont="1" applyFill="1" applyAlignment="1" applyProtection="1"/>
    <xf numFmtId="0" fontId="46" fillId="38" borderId="11" xfId="72" applyFont="1" applyFill="1" applyBorder="1" applyAlignment="1" applyProtection="1"/>
    <xf numFmtId="0" fontId="6" fillId="38" borderId="16" xfId="82" applyFont="1" applyFill="1" applyBorder="1"/>
    <xf numFmtId="166" fontId="6" fillId="38" borderId="16" xfId="56" applyNumberFormat="1" applyFont="1" applyFill="1" applyBorder="1" applyAlignment="1">
      <alignment horizontal="center"/>
    </xf>
    <xf numFmtId="0" fontId="6" fillId="38" borderId="16" xfId="82" applyFont="1" applyFill="1" applyBorder="1" applyAlignment="1">
      <alignment horizontal="left"/>
    </xf>
    <xf numFmtId="0" fontId="6" fillId="38" borderId="16" xfId="82" applyFont="1" applyFill="1" applyBorder="1" applyAlignment="1">
      <alignment horizontal="right"/>
    </xf>
    <xf numFmtId="166" fontId="6" fillId="38" borderId="16" xfId="56" applyNumberFormat="1" applyFont="1" applyFill="1" applyBorder="1"/>
    <xf numFmtId="0" fontId="6" fillId="38" borderId="16" xfId="82" applyFont="1" applyFill="1" applyBorder="1" applyAlignment="1">
      <alignment horizontal="center"/>
    </xf>
    <xf numFmtId="5" fontId="7" fillId="38" borderId="79" xfId="56" applyNumberFormat="1" applyFont="1" applyFill="1" applyBorder="1" applyAlignment="1">
      <alignment horizontal="right"/>
    </xf>
    <xf numFmtId="0" fontId="85" fillId="0" borderId="0" xfId="0" applyFont="1" applyAlignment="1">
      <alignment vertical="center" wrapText="1"/>
    </xf>
    <xf numFmtId="0" fontId="85" fillId="0" borderId="10" xfId="0" applyFont="1" applyBorder="1" applyAlignment="1">
      <alignment vertical="center" wrapText="1"/>
    </xf>
    <xf numFmtId="0" fontId="39" fillId="24" borderId="0" xfId="0" applyFont="1" applyFill="1"/>
    <xf numFmtId="0" fontId="48" fillId="0" borderId="0" xfId="0" applyFont="1" applyAlignment="1">
      <alignment horizontal="left" vertical="center" wrapText="1"/>
    </xf>
    <xf numFmtId="165" fontId="44" fillId="0" borderId="0" xfId="0" applyNumberFormat="1" applyFont="1"/>
    <xf numFmtId="166" fontId="27" fillId="0" borderId="83" xfId="56" applyNumberFormat="1" applyFont="1" applyFill="1" applyBorder="1" applyAlignment="1" applyProtection="1">
      <alignment horizontal="right"/>
      <protection locked="0"/>
    </xf>
    <xf numFmtId="9" fontId="27" fillId="38" borderId="79" xfId="92" applyFont="1" applyFill="1" applyBorder="1" applyAlignment="1" applyProtection="1">
      <alignment horizontal="right"/>
      <protection locked="0"/>
    </xf>
    <xf numFmtId="3" fontId="32" fillId="29" borderId="0" xfId="0" applyNumberFormat="1" applyFont="1" applyFill="1"/>
    <xf numFmtId="16" fontId="29" fillId="29" borderId="11" xfId="0" quotePrefix="1" applyNumberFormat="1" applyFont="1" applyFill="1" applyBorder="1" applyAlignment="1">
      <alignment horizontal="right"/>
    </xf>
    <xf numFmtId="3" fontId="29" fillId="29" borderId="16" xfId="0" applyNumberFormat="1" applyFont="1" applyFill="1" applyBorder="1"/>
    <xf numFmtId="3" fontId="29" fillId="29" borderId="52" xfId="0" applyNumberFormat="1" applyFont="1" applyFill="1" applyBorder="1"/>
    <xf numFmtId="9" fontId="27" fillId="0" borderId="0" xfId="0" applyNumberFormat="1" applyFont="1"/>
    <xf numFmtId="9" fontId="46" fillId="0" borderId="0" xfId="0" applyNumberFormat="1" applyFont="1"/>
    <xf numFmtId="2" fontId="0" fillId="38" borderId="75" xfId="0" applyNumberFormat="1" applyFill="1" applyBorder="1" applyAlignment="1" applyProtection="1">
      <alignment horizontal="right"/>
      <protection locked="0"/>
    </xf>
    <xf numFmtId="0" fontId="44" fillId="0" borderId="79" xfId="0" applyFont="1" applyBorder="1" applyAlignment="1">
      <alignment horizontal="left" wrapText="1"/>
    </xf>
    <xf numFmtId="1" fontId="0" fillId="0" borderId="79" xfId="0" applyNumberFormat="1" applyBorder="1" applyAlignment="1">
      <alignment horizontal="right"/>
    </xf>
    <xf numFmtId="3" fontId="44" fillId="0" borderId="0" xfId="0" applyNumberFormat="1" applyFont="1" applyAlignment="1">
      <alignment horizontal="right"/>
    </xf>
    <xf numFmtId="3" fontId="44" fillId="38" borderId="80" xfId="0" applyNumberFormat="1" applyFont="1" applyFill="1" applyBorder="1" applyAlignment="1">
      <alignment horizontal="right"/>
    </xf>
    <xf numFmtId="0" fontId="44" fillId="0" borderId="79" xfId="0" applyFont="1" applyBorder="1" applyAlignment="1">
      <alignment wrapText="1"/>
    </xf>
    <xf numFmtId="1" fontId="0" fillId="0" borderId="0" xfId="0" applyNumberFormat="1" applyAlignment="1">
      <alignment horizontal="right"/>
    </xf>
    <xf numFmtId="3" fontId="44" fillId="38" borderId="11" xfId="0" applyNumberFormat="1" applyFont="1" applyFill="1" applyBorder="1" applyAlignment="1">
      <alignment horizontal="right"/>
    </xf>
    <xf numFmtId="164" fontId="0" fillId="0" borderId="0" xfId="0" applyNumberFormat="1" applyAlignment="1">
      <alignment horizontal="left" wrapText="1"/>
    </xf>
    <xf numFmtId="0" fontId="0" fillId="25" borderId="81" xfId="0" applyFill="1" applyBorder="1" applyAlignment="1">
      <alignment horizontal="left" wrapText="1"/>
    </xf>
    <xf numFmtId="0" fontId="0" fillId="25" borderId="11" xfId="0" applyFill="1" applyBorder="1" applyAlignment="1">
      <alignment horizontal="left" wrapText="1"/>
    </xf>
    <xf numFmtId="0" fontId="44" fillId="0" borderId="79" xfId="0" applyFont="1" applyBorder="1"/>
    <xf numFmtId="165" fontId="46" fillId="0" borderId="52" xfId="0" applyNumberFormat="1" applyFont="1" applyBorder="1"/>
    <xf numFmtId="0" fontId="48" fillId="24" borderId="11" xfId="0" applyFont="1" applyFill="1" applyBorder="1" applyAlignment="1">
      <alignment vertical="center" wrapText="1"/>
    </xf>
    <xf numFmtId="0" fontId="39" fillId="25" borderId="79" xfId="0" applyFont="1" applyFill="1" applyBorder="1"/>
    <xf numFmtId="3" fontId="46" fillId="0" borderId="0" xfId="82" applyNumberFormat="1" applyFont="1"/>
    <xf numFmtId="0" fontId="27" fillId="24" borderId="52" xfId="0" applyFont="1" applyFill="1" applyBorder="1"/>
    <xf numFmtId="0" fontId="67" fillId="0" borderId="12" xfId="72" applyFont="1" applyFill="1" applyBorder="1" applyAlignment="1" applyProtection="1"/>
    <xf numFmtId="5" fontId="6" fillId="0" borderId="0" xfId="56" applyNumberFormat="1" applyFont="1" applyFill="1" applyBorder="1"/>
    <xf numFmtId="0" fontId="6" fillId="0" borderId="12" xfId="82" applyFont="1" applyBorder="1" applyAlignment="1">
      <alignment horizontal="left"/>
    </xf>
    <xf numFmtId="5" fontId="0" fillId="25" borderId="79" xfId="0" applyNumberFormat="1" applyFill="1" applyBorder="1"/>
    <xf numFmtId="0" fontId="39" fillId="24" borderId="79" xfId="0" applyFont="1" applyFill="1" applyBorder="1" applyAlignment="1">
      <alignment horizontal="center" wrapText="1"/>
    </xf>
    <xf numFmtId="3" fontId="44" fillId="24" borderId="0" xfId="0" applyNumberFormat="1" applyFont="1" applyFill="1"/>
    <xf numFmtId="0" fontId="44" fillId="24" borderId="0" xfId="0" applyFont="1" applyFill="1" applyAlignment="1">
      <alignment horizontal="left"/>
    </xf>
    <xf numFmtId="0" fontId="0" fillId="38" borderId="79" xfId="0" applyFill="1" applyBorder="1"/>
    <xf numFmtId="3" fontId="44" fillId="0" borderId="12" xfId="0" applyNumberFormat="1" applyFont="1" applyBorder="1"/>
    <xf numFmtId="171" fontId="76" fillId="24" borderId="0" xfId="0" applyNumberFormat="1" applyFont="1" applyFill="1" applyAlignment="1">
      <alignment vertical="top" wrapText="1" readingOrder="1"/>
    </xf>
    <xf numFmtId="180" fontId="32" fillId="29" borderId="0" xfId="0" applyNumberFormat="1" applyFont="1" applyFill="1"/>
    <xf numFmtId="0" fontId="57" fillId="0" borderId="0" xfId="72" applyFont="1" applyAlignment="1" applyProtection="1">
      <alignment horizontal="left" wrapText="1"/>
    </xf>
    <xf numFmtId="0" fontId="86" fillId="0" borderId="90" xfId="84" applyFont="1" applyBorder="1" applyAlignment="1">
      <alignment horizontal="left" vertical="center" wrapText="1" readingOrder="1"/>
    </xf>
    <xf numFmtId="0" fontId="86" fillId="0" borderId="91" xfId="84" applyFont="1" applyBorder="1" applyAlignment="1">
      <alignment horizontal="left" vertical="center" wrapText="1" readingOrder="1"/>
    </xf>
    <xf numFmtId="0" fontId="87" fillId="0" borderId="92" xfId="84" applyFont="1" applyBorder="1" applyAlignment="1">
      <alignment vertical="top" wrapText="1" readingOrder="1"/>
    </xf>
    <xf numFmtId="0" fontId="87" fillId="0" borderId="93" xfId="84" applyFont="1" applyBorder="1" applyAlignment="1">
      <alignment vertical="top" wrapText="1" readingOrder="1"/>
    </xf>
    <xf numFmtId="49" fontId="87" fillId="0" borderId="93" xfId="84" applyNumberFormat="1" applyFont="1" applyBorder="1" applyAlignment="1">
      <alignment vertical="top" wrapText="1" readingOrder="1"/>
    </xf>
    <xf numFmtId="3" fontId="87" fillId="0" borderId="93" xfId="84" applyNumberFormat="1" applyFont="1" applyBorder="1" applyAlignment="1">
      <alignment vertical="top" wrapText="1" readingOrder="1"/>
    </xf>
    <xf numFmtId="3" fontId="71" fillId="24" borderId="0" xfId="82" applyNumberFormat="1" applyFont="1" applyFill="1"/>
    <xf numFmtId="10" fontId="48" fillId="0" borderId="83" xfId="92" applyNumberFormat="1" applyFont="1" applyFill="1" applyBorder="1"/>
    <xf numFmtId="165" fontId="48" fillId="0" borderId="83" xfId="82" applyNumberFormat="1" applyFont="1" applyBorder="1"/>
    <xf numFmtId="0" fontId="41" fillId="0" borderId="77" xfId="0" applyFont="1" applyBorder="1"/>
    <xf numFmtId="181" fontId="2" fillId="24" borderId="0" xfId="82" applyNumberFormat="1" applyFill="1"/>
    <xf numFmtId="179" fontId="57" fillId="38" borderId="79" xfId="82" applyNumberFormat="1" applyFont="1" applyFill="1" applyBorder="1"/>
    <xf numFmtId="0" fontId="46" fillId="31" borderId="79" xfId="82" applyFont="1" applyFill="1" applyBorder="1"/>
    <xf numFmtId="0" fontId="0" fillId="31" borderId="79" xfId="0" applyFill="1" applyBorder="1"/>
    <xf numFmtId="0" fontId="46" fillId="0" borderId="83" xfId="82" applyFont="1" applyBorder="1"/>
    <xf numFmtId="3" fontId="0" fillId="0" borderId="83" xfId="0" applyNumberFormat="1" applyBorder="1"/>
    <xf numFmtId="0" fontId="45" fillId="0" borderId="13" xfId="82" applyFont="1" applyBorder="1"/>
    <xf numFmtId="166" fontId="7" fillId="38" borderId="79" xfId="56" applyNumberFormat="1" applyFont="1" applyFill="1" applyBorder="1"/>
    <xf numFmtId="9" fontId="0" fillId="0" borderId="16" xfId="0" applyNumberFormat="1" applyBorder="1" applyAlignment="1">
      <alignment horizontal="right"/>
    </xf>
    <xf numFmtId="3" fontId="0" fillId="0" borderId="10" xfId="0" applyNumberFormat="1" applyBorder="1" applyAlignment="1">
      <alignment horizontal="right"/>
    </xf>
    <xf numFmtId="3" fontId="44" fillId="24" borderId="79" xfId="0" applyNumberFormat="1" applyFont="1" applyFill="1" applyBorder="1" applyAlignment="1" applyProtection="1">
      <alignment horizontal="right"/>
      <protection locked="0"/>
    </xf>
    <xf numFmtId="3" fontId="0" fillId="24" borderId="79" xfId="0" applyNumberFormat="1" applyFill="1" applyBorder="1" applyAlignment="1" applyProtection="1">
      <alignment horizontal="right"/>
      <protection locked="0"/>
    </xf>
    <xf numFmtId="0" fontId="71" fillId="24" borderId="80" xfId="82" applyFont="1" applyFill="1" applyBorder="1" applyAlignment="1">
      <alignment horizontal="center" wrapText="1"/>
    </xf>
    <xf numFmtId="0" fontId="0" fillId="0" borderId="94" xfId="0" applyBorder="1"/>
    <xf numFmtId="0" fontId="29" fillId="0" borderId="0" xfId="0" quotePrefix="1" applyFont="1" applyAlignment="1">
      <alignment wrapText="1"/>
    </xf>
    <xf numFmtId="9" fontId="0" fillId="0" borderId="0" xfId="0" applyNumberFormat="1" applyAlignment="1">
      <alignment horizontal="left" wrapText="1"/>
    </xf>
    <xf numFmtId="10" fontId="57" fillId="38" borderId="80" xfId="82" applyNumberFormat="1" applyFont="1" applyFill="1" applyBorder="1"/>
    <xf numFmtId="10" fontId="57" fillId="38" borderId="79" xfId="82" applyNumberFormat="1" applyFont="1" applyFill="1" applyBorder="1"/>
    <xf numFmtId="0" fontId="40" fillId="36" borderId="0" xfId="0" applyFont="1" applyFill="1" applyAlignment="1">
      <alignment vertical="center"/>
    </xf>
    <xf numFmtId="0" fontId="88" fillId="24" borderId="95" xfId="0" applyFont="1" applyFill="1" applyBorder="1" applyAlignment="1">
      <alignment horizontal="center" vertical="center"/>
    </xf>
    <xf numFmtId="0" fontId="40" fillId="24" borderId="34" xfId="0" applyFont="1" applyFill="1" applyBorder="1" applyAlignment="1">
      <alignment vertical="center"/>
    </xf>
    <xf numFmtId="170" fontId="46" fillId="0" borderId="19" xfId="57" applyNumberFormat="1" applyFont="1" applyBorder="1" applyProtection="1"/>
    <xf numFmtId="0" fontId="89" fillId="0" borderId="0" xfId="0" applyFont="1" applyAlignment="1">
      <alignment vertical="center"/>
    </xf>
    <xf numFmtId="170" fontId="46" fillId="38" borderId="29" xfId="57" applyNumberFormat="1" applyFont="1" applyFill="1" applyBorder="1" applyProtection="1">
      <protection locked="0"/>
    </xf>
    <xf numFmtId="10" fontId="46" fillId="38" borderId="29" xfId="92" applyNumberFormat="1" applyFont="1" applyFill="1" applyBorder="1" applyProtection="1">
      <protection locked="0"/>
    </xf>
    <xf numFmtId="170" fontId="46" fillId="0" borderId="23" xfId="57" applyNumberFormat="1" applyFont="1" applyBorder="1" applyProtection="1"/>
    <xf numFmtId="10" fontId="46" fillId="38" borderId="22" xfId="92" applyNumberFormat="1" applyFont="1" applyFill="1" applyBorder="1" applyProtection="1">
      <protection locked="0"/>
    </xf>
    <xf numFmtId="170" fontId="0" fillId="0" borderId="0" xfId="0" applyNumberFormat="1"/>
    <xf numFmtId="43" fontId="0" fillId="0" borderId="0" xfId="0" applyNumberFormat="1"/>
    <xf numFmtId="0" fontId="44" fillId="24" borderId="67" xfId="0" applyFont="1" applyFill="1" applyBorder="1" applyAlignment="1">
      <alignment horizontal="center"/>
    </xf>
    <xf numFmtId="0" fontId="44" fillId="24" borderId="96" xfId="82" applyFont="1" applyFill="1" applyBorder="1" applyAlignment="1">
      <alignment horizontal="center"/>
    </xf>
    <xf numFmtId="0" fontId="44" fillId="24" borderId="96" xfId="110" applyFont="1" applyFill="1" applyBorder="1" applyAlignment="1">
      <alignment horizontal="center" wrapText="1"/>
    </xf>
    <xf numFmtId="3" fontId="44" fillId="24" borderId="96" xfId="110" applyNumberFormat="1" applyFont="1" applyFill="1" applyBorder="1" applyAlignment="1">
      <alignment horizontal="center" wrapText="1"/>
    </xf>
    <xf numFmtId="0" fontId="44" fillId="24" borderId="97" xfId="110" applyFont="1" applyFill="1" applyBorder="1" applyAlignment="1">
      <alignment horizontal="center" wrapText="1"/>
    </xf>
    <xf numFmtId="0" fontId="44" fillId="24" borderId="67" xfId="0" applyFont="1" applyFill="1" applyBorder="1" applyAlignment="1">
      <alignment horizontal="center" wrapText="1"/>
    </xf>
    <xf numFmtId="0" fontId="44" fillId="43" borderId="96" xfId="0" applyFont="1" applyFill="1" applyBorder="1" applyAlignment="1">
      <alignment horizontal="center" wrapText="1"/>
    </xf>
    <xf numFmtId="0" fontId="44" fillId="24" borderId="96" xfId="0" applyFont="1" applyFill="1" applyBorder="1" applyAlignment="1">
      <alignment horizontal="center" wrapText="1"/>
    </xf>
    <xf numFmtId="0" fontId="44" fillId="24" borderId="97" xfId="0" applyFont="1" applyFill="1" applyBorder="1" applyAlignment="1">
      <alignment horizontal="center" wrapText="1"/>
    </xf>
    <xf numFmtId="0" fontId="0" fillId="0" borderId="98" xfId="0" applyBorder="1" applyAlignment="1">
      <alignment horizontal="center"/>
    </xf>
    <xf numFmtId="170" fontId="46" fillId="0" borderId="15" xfId="57" applyNumberFormat="1" applyFont="1" applyBorder="1" applyProtection="1"/>
    <xf numFmtId="170" fontId="46" fillId="38" borderId="15" xfId="82" applyNumberFormat="1" applyFont="1" applyFill="1" applyBorder="1" applyProtection="1">
      <protection locked="0"/>
    </xf>
    <xf numFmtId="170" fontId="46" fillId="0" borderId="15" xfId="82" applyNumberFormat="1" applyFont="1" applyBorder="1"/>
    <xf numFmtId="3" fontId="46" fillId="0" borderId="15" xfId="82" applyNumberFormat="1" applyFont="1" applyBorder="1" applyAlignment="1">
      <alignment horizontal="right"/>
    </xf>
    <xf numFmtId="170" fontId="46" fillId="0" borderId="20" xfId="82" applyNumberFormat="1" applyFont="1" applyBorder="1"/>
    <xf numFmtId="3" fontId="0" fillId="38" borderId="15" xfId="0" applyNumberFormat="1" applyFill="1" applyBorder="1" applyProtection="1">
      <protection locked="0"/>
    </xf>
    <xf numFmtId="164" fontId="0" fillId="0" borderId="15" xfId="0" applyNumberFormat="1" applyBorder="1" applyAlignment="1">
      <alignment horizontal="right" vertical="center"/>
    </xf>
    <xf numFmtId="9" fontId="0" fillId="0" borderId="15" xfId="0" applyNumberFormat="1" applyBorder="1"/>
    <xf numFmtId="9" fontId="0" fillId="0" borderId="20" xfId="0" applyNumberFormat="1" applyBorder="1"/>
    <xf numFmtId="170" fontId="46" fillId="0" borderId="79" xfId="57" applyNumberFormat="1" applyFont="1" applyBorder="1" applyProtection="1"/>
    <xf numFmtId="170" fontId="46" fillId="38" borderId="79" xfId="82" applyNumberFormat="1" applyFont="1" applyFill="1" applyBorder="1" applyProtection="1">
      <protection locked="0"/>
    </xf>
    <xf numFmtId="9" fontId="0" fillId="0" borderId="29" xfId="0" applyNumberFormat="1" applyBorder="1"/>
    <xf numFmtId="9" fontId="0" fillId="0" borderId="79" xfId="92" applyFont="1" applyBorder="1" applyAlignment="1" applyProtection="1">
      <alignment horizontal="right" vertical="center"/>
    </xf>
    <xf numFmtId="9" fontId="0" fillId="0" borderId="29" xfId="92" applyFont="1" applyBorder="1" applyAlignment="1" applyProtection="1">
      <alignment horizontal="right" vertical="center"/>
    </xf>
    <xf numFmtId="0" fontId="0" fillId="0" borderId="99" xfId="0" applyBorder="1" applyAlignment="1">
      <alignment horizontal="center"/>
    </xf>
    <xf numFmtId="0" fontId="0" fillId="0" borderId="80" xfId="0" applyBorder="1"/>
    <xf numFmtId="170" fontId="46" fillId="38" borderId="80" xfId="82" applyNumberFormat="1" applyFont="1" applyFill="1" applyBorder="1" applyProtection="1">
      <protection locked="0"/>
    </xf>
    <xf numFmtId="170" fontId="46" fillId="38" borderId="24" xfId="82" applyNumberFormat="1" applyFont="1" applyFill="1" applyBorder="1" applyProtection="1">
      <protection locked="0"/>
    </xf>
    <xf numFmtId="3" fontId="46" fillId="0" borderId="24" xfId="82" applyNumberFormat="1" applyFont="1" applyBorder="1" applyAlignment="1">
      <alignment horizontal="right"/>
    </xf>
    <xf numFmtId="3" fontId="0" fillId="38" borderId="24" xfId="0" applyNumberFormat="1" applyFill="1" applyBorder="1" applyProtection="1">
      <protection locked="0"/>
    </xf>
    <xf numFmtId="164" fontId="0" fillId="0" borderId="24" xfId="0" applyNumberFormat="1" applyBorder="1" applyAlignment="1">
      <alignment horizontal="right" vertical="center"/>
    </xf>
    <xf numFmtId="9" fontId="0" fillId="0" borderId="24" xfId="92" applyFont="1" applyBorder="1" applyAlignment="1" applyProtection="1">
      <alignment horizontal="right" vertical="center"/>
    </xf>
    <xf numFmtId="9" fontId="0" fillId="0" borderId="22" xfId="92" applyFont="1" applyBorder="1" applyAlignment="1" applyProtection="1">
      <alignment horizontal="right" vertical="center"/>
    </xf>
    <xf numFmtId="0" fontId="0" fillId="38" borderId="0" xfId="0" applyFill="1"/>
    <xf numFmtId="0" fontId="0" fillId="38" borderId="83" xfId="0" applyFill="1" applyBorder="1"/>
    <xf numFmtId="3" fontId="44" fillId="38" borderId="0" xfId="0" applyNumberFormat="1" applyFont="1" applyFill="1"/>
    <xf numFmtId="9" fontId="0" fillId="38" borderId="0" xfId="0" applyNumberFormat="1" applyFill="1"/>
    <xf numFmtId="0" fontId="44" fillId="38" borderId="83" xfId="0" applyFont="1" applyFill="1" applyBorder="1" applyAlignment="1">
      <alignment horizontal="right"/>
    </xf>
    <xf numFmtId="9" fontId="0" fillId="0" borderId="0" xfId="0" applyNumberFormat="1" applyProtection="1">
      <protection locked="0"/>
    </xf>
    <xf numFmtId="9" fontId="0" fillId="0" borderId="14" xfId="0" applyNumberFormat="1" applyBorder="1" applyProtection="1">
      <protection locked="0"/>
    </xf>
    <xf numFmtId="165" fontId="0" fillId="0" borderId="12" xfId="0" applyNumberFormat="1" applyBorder="1"/>
    <xf numFmtId="165" fontId="0" fillId="0" borderId="0" xfId="0" applyNumberFormat="1"/>
    <xf numFmtId="165" fontId="0" fillId="0" borderId="52" xfId="0" applyNumberFormat="1" applyBorder="1"/>
    <xf numFmtId="0" fontId="49" fillId="0" borderId="11" xfId="0" applyFont="1" applyBorder="1"/>
    <xf numFmtId="0" fontId="2" fillId="24" borderId="11" xfId="82" applyFill="1" applyBorder="1"/>
    <xf numFmtId="0" fontId="2" fillId="24" borderId="16" xfId="82" applyFill="1" applyBorder="1"/>
    <xf numFmtId="3" fontId="2" fillId="24" borderId="52" xfId="82" applyNumberFormat="1" applyFill="1" applyBorder="1"/>
    <xf numFmtId="3" fontId="71" fillId="24" borderId="52" xfId="82" applyNumberFormat="1" applyFont="1" applyFill="1" applyBorder="1"/>
    <xf numFmtId="181" fontId="2" fillId="24" borderId="52" xfId="82" applyNumberFormat="1" applyFill="1" applyBorder="1"/>
    <xf numFmtId="0" fontId="45" fillId="25" borderId="11" xfId="82" applyFont="1" applyFill="1" applyBorder="1"/>
    <xf numFmtId="0" fontId="45" fillId="25" borderId="16" xfId="82" applyFont="1" applyFill="1" applyBorder="1"/>
    <xf numFmtId="0" fontId="45" fillId="25" borderId="52" xfId="82" applyFont="1" applyFill="1" applyBorder="1"/>
    <xf numFmtId="0" fontId="2" fillId="25" borderId="11" xfId="82" applyFill="1" applyBorder="1"/>
    <xf numFmtId="0" fontId="2" fillId="0" borderId="52" xfId="82" applyBorder="1"/>
    <xf numFmtId="0" fontId="2" fillId="25" borderId="79" xfId="82" applyFill="1" applyBorder="1"/>
    <xf numFmtId="0" fontId="46" fillId="24" borderId="0" xfId="82" applyFont="1" applyFill="1"/>
    <xf numFmtId="0" fontId="90" fillId="0" borderId="0" xfId="82" applyFont="1"/>
    <xf numFmtId="3" fontId="29" fillId="0" borderId="0" xfId="82" applyNumberFormat="1" applyFont="1"/>
    <xf numFmtId="3" fontId="29" fillId="0" borderId="84" xfId="82" applyNumberFormat="1" applyFont="1" applyBorder="1"/>
    <xf numFmtId="3" fontId="29" fillId="0" borderId="14" xfId="82" applyNumberFormat="1" applyFont="1" applyBorder="1"/>
    <xf numFmtId="3" fontId="29" fillId="0" borderId="17" xfId="82" applyNumberFormat="1" applyFont="1" applyBorder="1"/>
    <xf numFmtId="3" fontId="29" fillId="0" borderId="83" xfId="82" applyNumberFormat="1" applyFont="1" applyBorder="1"/>
    <xf numFmtId="3" fontId="7" fillId="29" borderId="79" xfId="0" applyNumberFormat="1" applyFont="1" applyFill="1" applyBorder="1"/>
    <xf numFmtId="3" fontId="7" fillId="29" borderId="11" xfId="0" applyNumberFormat="1" applyFont="1" applyFill="1" applyBorder="1"/>
    <xf numFmtId="3" fontId="7" fillId="29" borderId="16" xfId="0" applyNumberFormat="1" applyFont="1" applyFill="1" applyBorder="1"/>
    <xf numFmtId="3" fontId="7" fillId="29" borderId="52" xfId="0" applyNumberFormat="1" applyFont="1" applyFill="1" applyBorder="1"/>
    <xf numFmtId="0" fontId="29" fillId="29" borderId="83" xfId="0" applyFont="1" applyFill="1" applyBorder="1"/>
    <xf numFmtId="0" fontId="29" fillId="29" borderId="83" xfId="0" applyFont="1" applyFill="1" applyBorder="1" applyAlignment="1">
      <alignment wrapText="1"/>
    </xf>
    <xf numFmtId="179" fontId="0" fillId="38" borderId="64" xfId="0" applyNumberFormat="1" applyFill="1" applyBorder="1" applyAlignment="1" applyProtection="1">
      <alignment horizontal="right"/>
      <protection locked="0"/>
    </xf>
    <xf numFmtId="179" fontId="0" fillId="38" borderId="27" xfId="0" applyNumberFormat="1" applyFill="1" applyBorder="1" applyAlignment="1" applyProtection="1">
      <alignment horizontal="right"/>
      <protection locked="0"/>
    </xf>
    <xf numFmtId="179" fontId="0" fillId="38" borderId="31" xfId="0" applyNumberFormat="1" applyFill="1" applyBorder="1" applyAlignment="1" applyProtection="1">
      <alignment horizontal="right"/>
      <protection locked="0"/>
    </xf>
    <xf numFmtId="0" fontId="0" fillId="0" borderId="83" xfId="0" applyBorder="1" applyAlignment="1">
      <alignment horizontal="left" wrapText="1"/>
    </xf>
    <xf numFmtId="9" fontId="44" fillId="0" borderId="77" xfId="0" applyNumberFormat="1" applyFont="1" applyBorder="1" applyAlignment="1" applyProtection="1">
      <alignment horizontal="right"/>
      <protection locked="0"/>
    </xf>
    <xf numFmtId="9" fontId="44" fillId="38" borderId="100" xfId="0" applyNumberFormat="1" applyFont="1" applyFill="1" applyBorder="1" applyAlignment="1" applyProtection="1">
      <alignment horizontal="right"/>
      <protection locked="0"/>
    </xf>
    <xf numFmtId="0" fontId="46" fillId="0" borderId="79" xfId="82" applyFont="1" applyBorder="1" applyAlignment="1" applyProtection="1">
      <alignment wrapText="1"/>
      <protection locked="0"/>
    </xf>
    <xf numFmtId="0" fontId="57" fillId="0" borderId="11" xfId="82" applyFont="1" applyBorder="1" applyAlignment="1">
      <alignment horizontal="left" wrapText="1"/>
    </xf>
    <xf numFmtId="168" fontId="46" fillId="0" borderId="0" xfId="82" applyNumberFormat="1" applyFont="1" applyProtection="1">
      <protection locked="0"/>
    </xf>
    <xf numFmtId="10" fontId="0" fillId="0" borderId="0" xfId="0" applyNumberFormat="1" applyAlignment="1">
      <alignment horizontal="left" wrapText="1"/>
    </xf>
    <xf numFmtId="172" fontId="0" fillId="0" borderId="0" xfId="0" applyNumberFormat="1" applyAlignment="1">
      <alignment horizontal="left" wrapText="1"/>
    </xf>
    <xf numFmtId="181" fontId="0" fillId="0" borderId="0" xfId="0" applyNumberFormat="1" applyAlignment="1">
      <alignment wrapText="1"/>
    </xf>
    <xf numFmtId="1" fontId="0" fillId="0" borderId="0" xfId="0" applyNumberFormat="1" applyAlignment="1">
      <alignment horizontal="left" wrapText="1"/>
    </xf>
    <xf numFmtId="0" fontId="2" fillId="0" borderId="0" xfId="82" applyAlignment="1">
      <alignment horizontal="left"/>
    </xf>
    <xf numFmtId="9" fontId="6" fillId="24" borderId="0" xfId="82" applyNumberFormat="1" applyFont="1" applyFill="1"/>
    <xf numFmtId="10" fontId="71" fillId="24" borderId="0" xfId="82" applyNumberFormat="1" applyFont="1" applyFill="1"/>
    <xf numFmtId="3" fontId="46" fillId="0" borderId="0" xfId="0" applyNumberFormat="1" applyFont="1"/>
    <xf numFmtId="170" fontId="46" fillId="38" borderId="29" xfId="57" applyNumberFormat="1" applyFont="1" applyFill="1" applyBorder="1" applyAlignment="1" applyProtection="1">
      <alignment horizontal="center"/>
      <protection locked="0"/>
    </xf>
    <xf numFmtId="10" fontId="27" fillId="38" borderId="79" xfId="92" applyNumberFormat="1" applyFont="1" applyFill="1" applyBorder="1" applyProtection="1">
      <protection locked="0"/>
    </xf>
    <xf numFmtId="9" fontId="0" fillId="38" borderId="79" xfId="0" applyNumberFormat="1" applyFill="1" applyBorder="1" applyProtection="1">
      <protection locked="0"/>
    </xf>
    <xf numFmtId="9" fontId="44" fillId="38" borderId="79" xfId="92" applyFont="1" applyFill="1" applyBorder="1" applyProtection="1">
      <protection locked="0"/>
    </xf>
    <xf numFmtId="10" fontId="48" fillId="38" borderId="79" xfId="92" applyNumberFormat="1" applyFont="1" applyFill="1" applyBorder="1" applyProtection="1">
      <protection locked="0"/>
    </xf>
    <xf numFmtId="1" fontId="0" fillId="38" borderId="79" xfId="0" applyNumberFormat="1" applyFill="1" applyBorder="1" applyAlignment="1" applyProtection="1">
      <alignment horizontal="right"/>
      <protection locked="0"/>
    </xf>
    <xf numFmtId="0" fontId="0" fillId="38" borderId="79" xfId="0" applyFill="1" applyBorder="1" applyAlignment="1" applyProtection="1">
      <alignment horizontal="left" wrapText="1"/>
      <protection locked="0"/>
    </xf>
    <xf numFmtId="0" fontId="0" fillId="38" borderId="79" xfId="0" applyFill="1" applyBorder="1" applyAlignment="1" applyProtection="1">
      <alignment horizontal="left"/>
      <protection locked="0"/>
    </xf>
    <xf numFmtId="0" fontId="0" fillId="38" borderId="11" xfId="0" applyFill="1" applyBorder="1" applyAlignment="1" applyProtection="1">
      <alignment horizontal="left"/>
      <protection locked="0"/>
    </xf>
    <xf numFmtId="0" fontId="0" fillId="38" borderId="16" xfId="0" applyFill="1" applyBorder="1" applyAlignment="1" applyProtection="1">
      <alignment horizontal="right"/>
      <protection locked="0"/>
    </xf>
    <xf numFmtId="0" fontId="0" fillId="38" borderId="16" xfId="0" applyFill="1" applyBorder="1" applyProtection="1">
      <protection locked="0"/>
    </xf>
    <xf numFmtId="0" fontId="0" fillId="38" borderId="11" xfId="0" applyFill="1" applyBorder="1" applyAlignment="1" applyProtection="1">
      <alignment horizontal="left" wrapText="1"/>
      <protection locked="0"/>
    </xf>
    <xf numFmtId="0" fontId="0" fillId="38" borderId="16" xfId="0" applyFill="1" applyBorder="1" applyAlignment="1" applyProtection="1">
      <alignment horizontal="left" wrapText="1"/>
      <protection locked="0"/>
    </xf>
    <xf numFmtId="0" fontId="0" fillId="38" borderId="52" xfId="0" applyFill="1" applyBorder="1" applyAlignment="1" applyProtection="1">
      <alignment horizontal="left" wrapText="1"/>
      <protection locked="0"/>
    </xf>
    <xf numFmtId="0" fontId="0" fillId="38" borderId="18" xfId="0" applyFill="1" applyBorder="1" applyAlignment="1" applyProtection="1">
      <alignment horizontal="left" wrapText="1"/>
      <protection locked="0"/>
    </xf>
    <xf numFmtId="0" fontId="0" fillId="38" borderId="10" xfId="0" applyFill="1" applyBorder="1" applyAlignment="1" applyProtection="1">
      <alignment horizontal="left" wrapText="1"/>
      <protection locked="0"/>
    </xf>
    <xf numFmtId="0" fontId="0" fillId="38" borderId="17" xfId="0" applyFill="1" applyBorder="1" applyAlignment="1" applyProtection="1">
      <alignment horizontal="left" wrapText="1"/>
      <protection locked="0"/>
    </xf>
    <xf numFmtId="165" fontId="44" fillId="38" borderId="11" xfId="0" applyNumberFormat="1" applyFont="1" applyFill="1" applyBorder="1" applyProtection="1">
      <protection locked="0"/>
    </xf>
    <xf numFmtId="165" fontId="44" fillId="38" borderId="79" xfId="0" applyNumberFormat="1" applyFont="1" applyFill="1" applyBorder="1" applyProtection="1">
      <protection locked="0"/>
    </xf>
    <xf numFmtId="165" fontId="44" fillId="38" borderId="52" xfId="0" applyNumberFormat="1" applyFont="1" applyFill="1" applyBorder="1" applyProtection="1">
      <protection locked="0"/>
    </xf>
    <xf numFmtId="0" fontId="60" fillId="0" borderId="0" xfId="0" applyFont="1" applyAlignment="1">
      <alignment horizontal="left" vertical="center" wrapText="1"/>
    </xf>
    <xf numFmtId="0" fontId="0" fillId="0" borderId="11" xfId="0" applyBorder="1" applyAlignment="1">
      <alignment horizontal="center" vertical="center"/>
    </xf>
    <xf numFmtId="0" fontId="0" fillId="0" borderId="16" xfId="0" applyBorder="1" applyAlignment="1">
      <alignment horizontal="center" vertical="center"/>
    </xf>
    <xf numFmtId="0" fontId="29" fillId="29" borderId="11" xfId="0" applyFont="1" applyFill="1" applyBorder="1" applyAlignment="1">
      <alignment horizontal="center"/>
    </xf>
    <xf numFmtId="0" fontId="29" fillId="29" borderId="16" xfId="0" applyFont="1" applyFill="1" applyBorder="1" applyAlignment="1">
      <alignment horizontal="center"/>
    </xf>
    <xf numFmtId="0" fontId="29" fillId="29" borderId="52" xfId="0" applyFont="1" applyFill="1" applyBorder="1" applyAlignment="1">
      <alignment horizontal="center"/>
    </xf>
    <xf numFmtId="0" fontId="85" fillId="0" borderId="0" xfId="0" applyFont="1" applyAlignment="1">
      <alignment horizontal="left" vertical="center" wrapText="1"/>
    </xf>
    <xf numFmtId="0" fontId="28" fillId="0" borderId="81" xfId="72" applyBorder="1" applyAlignment="1" applyProtection="1">
      <alignment horizontal="left" vertical="top" wrapText="1"/>
    </xf>
    <xf numFmtId="0" fontId="28" fillId="0" borderId="83" xfId="72" applyBorder="1" applyAlignment="1" applyProtection="1">
      <alignment horizontal="left" vertical="top" wrapText="1"/>
    </xf>
    <xf numFmtId="0" fontId="48" fillId="0" borderId="11" xfId="0" applyFont="1" applyBorder="1" applyAlignment="1">
      <alignment horizontal="left" wrapText="1"/>
    </xf>
    <xf numFmtId="0" fontId="48" fillId="0" borderId="16" xfId="0" applyFont="1" applyBorder="1" applyAlignment="1">
      <alignment horizontal="left" wrapText="1"/>
    </xf>
    <xf numFmtId="0" fontId="48" fillId="0" borderId="52" xfId="0" applyFont="1" applyBorder="1" applyAlignment="1">
      <alignment horizontal="left" wrapText="1"/>
    </xf>
    <xf numFmtId="0" fontId="44" fillId="0" borderId="11" xfId="0" applyFont="1" applyBorder="1" applyAlignment="1">
      <alignment horizontal="left" wrapText="1"/>
    </xf>
    <xf numFmtId="0" fontId="46" fillId="0" borderId="11" xfId="0" applyFont="1" applyBorder="1" applyAlignment="1">
      <alignment horizontal="left" wrapText="1"/>
    </xf>
    <xf numFmtId="0" fontId="46" fillId="0" borderId="16" xfId="0" applyFont="1" applyBorder="1" applyAlignment="1">
      <alignment horizontal="left" wrapText="1"/>
    </xf>
    <xf numFmtId="0" fontId="46" fillId="0" borderId="52" xfId="0" applyFont="1" applyBorder="1" applyAlignment="1">
      <alignment horizontal="left" wrapText="1"/>
    </xf>
    <xf numFmtId="0" fontId="0" fillId="25" borderId="12" xfId="0" applyFill="1" applyBorder="1" applyAlignment="1">
      <alignment horizontal="left" wrapText="1"/>
    </xf>
    <xf numFmtId="0" fontId="0" fillId="25" borderId="0" xfId="0" applyFill="1" applyAlignment="1">
      <alignment horizontal="left" wrapText="1"/>
    </xf>
    <xf numFmtId="0" fontId="0" fillId="25" borderId="14" xfId="0" applyFill="1" applyBorder="1" applyAlignment="1">
      <alignment horizontal="left" wrapText="1"/>
    </xf>
    <xf numFmtId="0" fontId="0" fillId="0" borderId="12" xfId="0" applyBorder="1" applyAlignment="1">
      <alignment horizontal="left" wrapText="1"/>
    </xf>
    <xf numFmtId="0" fontId="0" fillId="0" borderId="0" xfId="0" applyAlignment="1">
      <alignment horizontal="left" wrapText="1"/>
    </xf>
    <xf numFmtId="0" fontId="0" fillId="0" borderId="14" xfId="0" applyBorder="1" applyAlignment="1">
      <alignment horizontal="left" wrapText="1"/>
    </xf>
    <xf numFmtId="3" fontId="0" fillId="0" borderId="12" xfId="0" applyNumberFormat="1" applyBorder="1" applyAlignment="1">
      <alignment horizontal="left" wrapText="1"/>
    </xf>
    <xf numFmtId="3" fontId="0" fillId="0" borderId="0" xfId="0" applyNumberFormat="1" applyAlignment="1">
      <alignment horizontal="left" wrapText="1"/>
    </xf>
    <xf numFmtId="0" fontId="28" fillId="0" borderId="16" xfId="72" applyBorder="1" applyAlignment="1" applyProtection="1">
      <alignment horizontal="left" vertical="top" wrapText="1"/>
    </xf>
    <xf numFmtId="0" fontId="28" fillId="0" borderId="52" xfId="72" applyBorder="1" applyAlignment="1" applyProtection="1">
      <alignment horizontal="left" vertical="top" wrapText="1"/>
    </xf>
    <xf numFmtId="0" fontId="28" fillId="0" borderId="81" xfId="72" applyBorder="1" applyAlignment="1" applyProtection="1">
      <alignment horizontal="left" wrapText="1"/>
    </xf>
    <xf numFmtId="0" fontId="28" fillId="0" borderId="83" xfId="72" applyBorder="1" applyAlignment="1" applyProtection="1">
      <alignment horizontal="left"/>
    </xf>
    <xf numFmtId="0" fontId="28" fillId="0" borderId="84" xfId="72" applyBorder="1" applyAlignment="1" applyProtection="1">
      <alignment horizontal="left"/>
    </xf>
    <xf numFmtId="0" fontId="44" fillId="0" borderId="0" xfId="0" applyFont="1" applyAlignment="1">
      <alignment horizontal="right" wrapText="1"/>
    </xf>
    <xf numFmtId="0" fontId="57" fillId="0" borderId="0" xfId="72" applyFont="1" applyAlignment="1" applyProtection="1">
      <alignment horizontal="left" wrapText="1"/>
    </xf>
    <xf numFmtId="0" fontId="82" fillId="0" borderId="79" xfId="0" applyFont="1" applyBorder="1" applyAlignment="1">
      <alignment horizontal="left" vertical="center" wrapText="1"/>
    </xf>
    <xf numFmtId="0" fontId="0" fillId="0" borderId="10" xfId="0" applyBorder="1" applyAlignment="1">
      <alignment horizontal="left" wrapText="1"/>
    </xf>
    <xf numFmtId="0" fontId="0" fillId="0" borderId="25" xfId="0" applyBorder="1" applyAlignment="1">
      <alignment horizontal="left" wrapText="1"/>
    </xf>
    <xf numFmtId="0" fontId="29" fillId="0" borderId="12" xfId="0" applyFont="1" applyBorder="1" applyAlignment="1">
      <alignment horizontal="left" wrapText="1"/>
    </xf>
    <xf numFmtId="0" fontId="29" fillId="0" borderId="0" xfId="0" applyFont="1" applyAlignment="1">
      <alignment horizontal="left" wrapText="1"/>
    </xf>
    <xf numFmtId="0" fontId="29" fillId="0" borderId="14" xfId="0" applyFont="1" applyBorder="1" applyAlignment="1">
      <alignment horizontal="left" wrapText="1"/>
    </xf>
    <xf numFmtId="3" fontId="73" fillId="24" borderId="0" xfId="0" applyNumberFormat="1" applyFont="1" applyFill="1" applyAlignment="1">
      <alignment horizontal="left" vertical="top" wrapText="1" readingOrder="1"/>
    </xf>
    <xf numFmtId="0" fontId="75" fillId="46" borderId="12" xfId="0" applyFont="1" applyFill="1" applyBorder="1" applyAlignment="1">
      <alignment horizontal="center" vertical="center" wrapText="1"/>
    </xf>
    <xf numFmtId="0" fontId="75" fillId="46" borderId="0" xfId="0" applyFont="1" applyFill="1" applyAlignment="1">
      <alignment horizontal="center" vertical="center" wrapText="1"/>
    </xf>
    <xf numFmtId="0" fontId="73" fillId="0" borderId="54" xfId="0" applyFont="1" applyBorder="1" applyAlignment="1">
      <alignment vertical="top" wrapText="1" readingOrder="1"/>
    </xf>
    <xf numFmtId="0" fontId="73" fillId="0" borderId="55" xfId="0" applyFont="1" applyBorder="1" applyAlignment="1">
      <alignment vertical="top" wrapText="1" readingOrder="1"/>
    </xf>
    <xf numFmtId="0" fontId="73" fillId="0" borderId="58" xfId="0" applyFont="1" applyBorder="1" applyAlignment="1">
      <alignment vertical="top" wrapText="1" readingOrder="1"/>
    </xf>
    <xf numFmtId="0" fontId="0" fillId="24" borderId="0" xfId="0" quotePrefix="1" applyFill="1" applyAlignment="1">
      <alignment horizontal="left" wrapText="1"/>
    </xf>
    <xf numFmtId="0" fontId="0" fillId="24" borderId="0" xfId="0" applyFill="1" applyAlignment="1">
      <alignment horizontal="left" wrapText="1"/>
    </xf>
    <xf numFmtId="0" fontId="73" fillId="0" borderId="59" xfId="0" applyFont="1" applyBorder="1" applyAlignment="1">
      <alignment vertical="top" wrapText="1" readingOrder="1"/>
    </xf>
    <xf numFmtId="0" fontId="73" fillId="0" borderId="60" xfId="0" applyFont="1" applyBorder="1" applyAlignment="1">
      <alignment vertical="top" wrapText="1" readingOrder="1"/>
    </xf>
    <xf numFmtId="0" fontId="73" fillId="0" borderId="61" xfId="0" applyFont="1" applyBorder="1" applyAlignment="1">
      <alignment vertical="top" wrapText="1" readingOrder="1"/>
    </xf>
    <xf numFmtId="0" fontId="48" fillId="24" borderId="11" xfId="82" applyFont="1" applyFill="1" applyBorder="1" applyAlignment="1">
      <alignment horizontal="center"/>
    </xf>
    <xf numFmtId="0" fontId="48" fillId="24" borderId="16" xfId="82" applyFont="1" applyFill="1" applyBorder="1" applyAlignment="1">
      <alignment horizontal="center"/>
    </xf>
    <xf numFmtId="0" fontId="48" fillId="24" borderId="52" xfId="82" applyFont="1" applyFill="1" applyBorder="1" applyAlignment="1">
      <alignment horizontal="center"/>
    </xf>
    <xf numFmtId="0" fontId="2" fillId="25" borderId="80" xfId="82" applyFill="1" applyBorder="1" applyAlignment="1">
      <alignment horizontal="center" vertical="center" wrapText="1"/>
    </xf>
    <xf numFmtId="0" fontId="46" fillId="0" borderId="13" xfId="0" applyFont="1" applyBorder="1" applyAlignment="1">
      <alignment horizontal="center" vertical="center" wrapText="1"/>
    </xf>
    <xf numFmtId="0" fontId="46" fillId="0" borderId="15" xfId="0" applyFont="1" applyBorder="1" applyAlignment="1">
      <alignment horizontal="center" vertical="center" wrapText="1"/>
    </xf>
    <xf numFmtId="0" fontId="2" fillId="0" borderId="0" xfId="82" applyAlignment="1">
      <alignment horizontal="left" wrapText="1"/>
    </xf>
    <xf numFmtId="0" fontId="73" fillId="24" borderId="0" xfId="0" applyFont="1" applyFill="1" applyAlignment="1">
      <alignment vertical="top" wrapText="1" readingOrder="1"/>
    </xf>
    <xf numFmtId="0" fontId="73" fillId="24" borderId="0" xfId="0" applyFont="1" applyFill="1" applyAlignment="1">
      <alignment horizontal="left" vertical="top" wrapText="1" readingOrder="1"/>
    </xf>
    <xf numFmtId="166" fontId="57" fillId="0" borderId="0" xfId="56" applyNumberFormat="1" applyFont="1" applyFill="1" applyBorder="1" applyAlignment="1">
      <alignment horizontal="left" wrapText="1"/>
    </xf>
    <xf numFmtId="0" fontId="29" fillId="0" borderId="0" xfId="0" quotePrefix="1" applyFont="1" applyAlignment="1">
      <alignment wrapText="1"/>
    </xf>
    <xf numFmtId="0" fontId="0" fillId="0" borderId="0" xfId="0" applyAlignment="1">
      <alignment wrapText="1"/>
    </xf>
    <xf numFmtId="0" fontId="46" fillId="0" borderId="10" xfId="82" applyFont="1" applyBorder="1" applyAlignment="1">
      <alignment horizontal="left" wrapText="1"/>
    </xf>
  </cellXfs>
  <cellStyles count="112">
    <cellStyle name="20% - Accent1 2" xfId="1" xr:uid="{00000000-0005-0000-0000-000000000000}"/>
    <cellStyle name="20% - Accent1 3" xfId="2" xr:uid="{00000000-0005-0000-0000-000001000000}"/>
    <cellStyle name="20% - Accent2 2" xfId="3" xr:uid="{00000000-0005-0000-0000-000002000000}"/>
    <cellStyle name="20% - Accent2 3" xfId="4" xr:uid="{00000000-0005-0000-0000-000003000000}"/>
    <cellStyle name="20% - Accent3 2" xfId="5" xr:uid="{00000000-0005-0000-0000-000004000000}"/>
    <cellStyle name="20% - Accent3 3" xfId="6" xr:uid="{00000000-0005-0000-0000-000005000000}"/>
    <cellStyle name="20% - Accent4 2" xfId="7" xr:uid="{00000000-0005-0000-0000-000006000000}"/>
    <cellStyle name="20% - Accent4 3" xfId="8" xr:uid="{00000000-0005-0000-0000-000007000000}"/>
    <cellStyle name="20% - Accent5 2" xfId="9" xr:uid="{00000000-0005-0000-0000-000008000000}"/>
    <cellStyle name="20% - Accent5 3" xfId="10" xr:uid="{00000000-0005-0000-0000-000009000000}"/>
    <cellStyle name="20% - Accent6 2" xfId="11" xr:uid="{00000000-0005-0000-0000-00000A000000}"/>
    <cellStyle name="20% - Accent6 3" xfId="12" xr:uid="{00000000-0005-0000-0000-00000B000000}"/>
    <cellStyle name="40% - Accent1 2" xfId="13" xr:uid="{00000000-0005-0000-0000-00000C000000}"/>
    <cellStyle name="40% - Accent1 3" xfId="14" xr:uid="{00000000-0005-0000-0000-00000D000000}"/>
    <cellStyle name="40% - Accent2 2" xfId="15" xr:uid="{00000000-0005-0000-0000-00000E000000}"/>
    <cellStyle name="40% - Accent2 3" xfId="16" xr:uid="{00000000-0005-0000-0000-00000F000000}"/>
    <cellStyle name="40% - Accent3 2" xfId="17" xr:uid="{00000000-0005-0000-0000-000010000000}"/>
    <cellStyle name="40% - Accent3 3" xfId="18" xr:uid="{00000000-0005-0000-0000-000011000000}"/>
    <cellStyle name="40% - Accent4 2" xfId="19" xr:uid="{00000000-0005-0000-0000-000012000000}"/>
    <cellStyle name="40% - Accent4 3" xfId="20" xr:uid="{00000000-0005-0000-0000-000013000000}"/>
    <cellStyle name="40% - Accent5 2" xfId="21" xr:uid="{00000000-0005-0000-0000-000014000000}"/>
    <cellStyle name="40% - Accent5 3" xfId="22" xr:uid="{00000000-0005-0000-0000-000015000000}"/>
    <cellStyle name="40% - Accent6 2" xfId="23" xr:uid="{00000000-0005-0000-0000-000016000000}"/>
    <cellStyle name="40% - Accent6 3" xfId="24" xr:uid="{00000000-0005-0000-0000-000017000000}"/>
    <cellStyle name="60% - Accent1 2" xfId="25" xr:uid="{00000000-0005-0000-0000-000018000000}"/>
    <cellStyle name="60% - Accent1 3" xfId="26" xr:uid="{00000000-0005-0000-0000-000019000000}"/>
    <cellStyle name="60% - Accent2 2" xfId="27" xr:uid="{00000000-0005-0000-0000-00001A000000}"/>
    <cellStyle name="60% - Accent2 3" xfId="28" xr:uid="{00000000-0005-0000-0000-00001B000000}"/>
    <cellStyle name="60% - Accent3 2" xfId="29" xr:uid="{00000000-0005-0000-0000-00001C000000}"/>
    <cellStyle name="60% - Accent3 3" xfId="30" xr:uid="{00000000-0005-0000-0000-00001D000000}"/>
    <cellStyle name="60% - Accent4 2" xfId="31" xr:uid="{00000000-0005-0000-0000-00001E000000}"/>
    <cellStyle name="60% - Accent4 3" xfId="32" xr:uid="{00000000-0005-0000-0000-00001F000000}"/>
    <cellStyle name="60% - Accent5 2" xfId="33" xr:uid="{00000000-0005-0000-0000-000020000000}"/>
    <cellStyle name="60% - Accent5 3" xfId="34" xr:uid="{00000000-0005-0000-0000-000021000000}"/>
    <cellStyle name="60% - Accent6 2" xfId="35" xr:uid="{00000000-0005-0000-0000-000022000000}"/>
    <cellStyle name="60% - Accent6 3" xfId="36" xr:uid="{00000000-0005-0000-0000-000023000000}"/>
    <cellStyle name="Accent1 2" xfId="37" xr:uid="{00000000-0005-0000-0000-000024000000}"/>
    <cellStyle name="Accent1 3" xfId="38" xr:uid="{00000000-0005-0000-0000-000025000000}"/>
    <cellStyle name="Accent2 2" xfId="39" xr:uid="{00000000-0005-0000-0000-000026000000}"/>
    <cellStyle name="Accent2 3" xfId="40" xr:uid="{00000000-0005-0000-0000-000027000000}"/>
    <cellStyle name="Accent3 2" xfId="41" xr:uid="{00000000-0005-0000-0000-000028000000}"/>
    <cellStyle name="Accent3 3" xfId="42" xr:uid="{00000000-0005-0000-0000-000029000000}"/>
    <cellStyle name="Accent4 2" xfId="43" xr:uid="{00000000-0005-0000-0000-00002A000000}"/>
    <cellStyle name="Accent4 3" xfId="44" xr:uid="{00000000-0005-0000-0000-00002B000000}"/>
    <cellStyle name="Accent5 2" xfId="45" xr:uid="{00000000-0005-0000-0000-00002C000000}"/>
    <cellStyle name="Accent5 3" xfId="46" xr:uid="{00000000-0005-0000-0000-00002D000000}"/>
    <cellStyle name="Accent6 2" xfId="47" xr:uid="{00000000-0005-0000-0000-00002E000000}"/>
    <cellStyle name="Accent6 3" xfId="48" xr:uid="{00000000-0005-0000-0000-00002F000000}"/>
    <cellStyle name="ariel" xfId="49" xr:uid="{00000000-0005-0000-0000-000030000000}"/>
    <cellStyle name="Bad 2" xfId="50" xr:uid="{00000000-0005-0000-0000-000031000000}"/>
    <cellStyle name="Bad 3" xfId="51" xr:uid="{00000000-0005-0000-0000-000032000000}"/>
    <cellStyle name="Calculation 2" xfId="52" xr:uid="{00000000-0005-0000-0000-000033000000}"/>
    <cellStyle name="Calculation 3" xfId="53" xr:uid="{00000000-0005-0000-0000-000034000000}"/>
    <cellStyle name="Check Cell 2" xfId="54" xr:uid="{00000000-0005-0000-0000-000035000000}"/>
    <cellStyle name="Check Cell 3" xfId="55" xr:uid="{00000000-0005-0000-0000-000036000000}"/>
    <cellStyle name="Comma" xfId="56" builtinId="3"/>
    <cellStyle name="Comma 2" xfId="57" xr:uid="{00000000-0005-0000-0000-000038000000}"/>
    <cellStyle name="Comma 3" xfId="58" xr:uid="{00000000-0005-0000-0000-000039000000}"/>
    <cellStyle name="Comma 4" xfId="59" xr:uid="{00000000-0005-0000-0000-00003A000000}"/>
    <cellStyle name="Explanatory Text 2" xfId="60" xr:uid="{00000000-0005-0000-0000-00003B000000}"/>
    <cellStyle name="Explanatory Text 3" xfId="61" xr:uid="{00000000-0005-0000-0000-00003C000000}"/>
    <cellStyle name="Good 2" xfId="62" xr:uid="{00000000-0005-0000-0000-00003D000000}"/>
    <cellStyle name="Good 3" xfId="63" xr:uid="{00000000-0005-0000-0000-00003E000000}"/>
    <cellStyle name="Heading 1 2" xfId="64" xr:uid="{00000000-0005-0000-0000-00003F000000}"/>
    <cellStyle name="Heading 1 3" xfId="65" xr:uid="{00000000-0005-0000-0000-000040000000}"/>
    <cellStyle name="Heading 2 2" xfId="66" xr:uid="{00000000-0005-0000-0000-000041000000}"/>
    <cellStyle name="Heading 2 3" xfId="67" xr:uid="{00000000-0005-0000-0000-000042000000}"/>
    <cellStyle name="Heading 3 2" xfId="68" xr:uid="{00000000-0005-0000-0000-000043000000}"/>
    <cellStyle name="Heading 3 2 2" xfId="108" xr:uid="{00000000-0005-0000-0000-000044000000}"/>
    <cellStyle name="Heading 3 3" xfId="69" xr:uid="{00000000-0005-0000-0000-000045000000}"/>
    <cellStyle name="Heading 3 3 2" xfId="107" xr:uid="{00000000-0005-0000-0000-000046000000}"/>
    <cellStyle name="Heading 4 2" xfId="70" xr:uid="{00000000-0005-0000-0000-000047000000}"/>
    <cellStyle name="Heading 4 3" xfId="71" xr:uid="{00000000-0005-0000-0000-000048000000}"/>
    <cellStyle name="Hyperlink" xfId="72" builtinId="8"/>
    <cellStyle name="Hyperlink 2" xfId="73" xr:uid="{00000000-0005-0000-0000-00004A000000}"/>
    <cellStyle name="Hyperlink 2 2" xfId="74" xr:uid="{00000000-0005-0000-0000-00004B000000}"/>
    <cellStyle name="Hyperlink 3" xfId="75" xr:uid="{00000000-0005-0000-0000-00004C000000}"/>
    <cellStyle name="Hyperlink 4" xfId="103" xr:uid="{00000000-0005-0000-0000-00004D000000}"/>
    <cellStyle name="Hyperlink 5" xfId="102" xr:uid="{00000000-0005-0000-0000-00004E000000}"/>
    <cellStyle name="Input 2" xfId="76" xr:uid="{00000000-0005-0000-0000-00004F000000}"/>
    <cellStyle name="Input 3" xfId="77" xr:uid="{00000000-0005-0000-0000-000050000000}"/>
    <cellStyle name="Linked Cell 2" xfId="78" xr:uid="{00000000-0005-0000-0000-000051000000}"/>
    <cellStyle name="Linked Cell 3" xfId="79" xr:uid="{00000000-0005-0000-0000-000052000000}"/>
    <cellStyle name="LiveValue" xfId="111" xr:uid="{D3D1E927-E011-4266-8C19-8CD9AE8B6B87}"/>
    <cellStyle name="Neutral 2" xfId="80" xr:uid="{00000000-0005-0000-0000-000053000000}"/>
    <cellStyle name="Neutral 3" xfId="81" xr:uid="{00000000-0005-0000-0000-000054000000}"/>
    <cellStyle name="Normal" xfId="0" builtinId="0"/>
    <cellStyle name="Normal 2" xfId="82" xr:uid="{00000000-0005-0000-0000-000056000000}"/>
    <cellStyle name="Normal 2 2" xfId="83" xr:uid="{00000000-0005-0000-0000-000057000000}"/>
    <cellStyle name="Normal 3" xfId="84" xr:uid="{00000000-0005-0000-0000-000058000000}"/>
    <cellStyle name="Normal 3 2" xfId="85" xr:uid="{00000000-0005-0000-0000-000059000000}"/>
    <cellStyle name="Normal 3 3" xfId="109" xr:uid="{4DE0461D-A09A-46DB-9420-EA36D32D2B1E}"/>
    <cellStyle name="Normal 38" xfId="110" xr:uid="{5C880423-993E-4053-9D18-8525566CBCE5}"/>
    <cellStyle name="Normal 4" xfId="86" xr:uid="{00000000-0005-0000-0000-00005A000000}"/>
    <cellStyle name="Normal 4 2" xfId="101" xr:uid="{00000000-0005-0000-0000-00005B000000}"/>
    <cellStyle name="Normal 5" xfId="104" xr:uid="{00000000-0005-0000-0000-00005C000000}"/>
    <cellStyle name="Normal 6" xfId="105" xr:uid="{00000000-0005-0000-0000-00005D000000}"/>
    <cellStyle name="Normal 7" xfId="106" xr:uid="{00000000-0005-0000-0000-00005E000000}"/>
    <cellStyle name="Normal_pcopop06quina" xfId="87" xr:uid="{00000000-0005-0000-0000-00005F000000}"/>
    <cellStyle name="Note 2" xfId="88" xr:uid="{00000000-0005-0000-0000-000060000000}"/>
    <cellStyle name="Note 3" xfId="89" xr:uid="{00000000-0005-0000-0000-000061000000}"/>
    <cellStyle name="Output 2" xfId="90" xr:uid="{00000000-0005-0000-0000-000062000000}"/>
    <cellStyle name="Output 3" xfId="91" xr:uid="{00000000-0005-0000-0000-000063000000}"/>
    <cellStyle name="Per cent" xfId="92" builtinId="5"/>
    <cellStyle name="Percent 2" xfId="93" xr:uid="{00000000-0005-0000-0000-000065000000}"/>
    <cellStyle name="Percent 3" xfId="94" xr:uid="{00000000-0005-0000-0000-000066000000}"/>
    <cellStyle name="Title 2" xfId="95" xr:uid="{00000000-0005-0000-0000-000067000000}"/>
    <cellStyle name="Title 3" xfId="96" xr:uid="{00000000-0005-0000-0000-000068000000}"/>
    <cellStyle name="Total 2" xfId="97" xr:uid="{00000000-0005-0000-0000-000069000000}"/>
    <cellStyle name="Total 3" xfId="98" xr:uid="{00000000-0005-0000-0000-00006A000000}"/>
    <cellStyle name="Warning Text 2" xfId="99" xr:uid="{00000000-0005-0000-0000-00006B000000}"/>
    <cellStyle name="Warning Text 3" xfId="100" xr:uid="{00000000-0005-0000-0000-00006C000000}"/>
  </cellStyles>
  <dxfs count="1">
    <dxf>
      <font>
        <color theme="0"/>
      </font>
      <fill>
        <patternFill>
          <bgColor theme="0"/>
        </patternFill>
      </fill>
    </dxf>
  </dxfs>
  <tableStyles count="0" defaultTableStyle="TableStyleMedium9" defaultPivotStyle="PivotStyleLight16"/>
  <colors>
    <mruColors>
      <color rgb="FFFFFF99"/>
      <color rgb="FFFF00FF"/>
      <color rgb="FFE4E5B5"/>
      <color rgb="FF18646E"/>
      <color rgb="FFE4ED69"/>
      <color rgb="FF15434A"/>
      <color rgb="FF51560A"/>
      <color rgb="FF41441C"/>
      <color rgb="FF66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msg.scot.nhs.uk/wp-content/uploads/Item-10i-AOCB-PCSDD2024-01-Medical-Dental-Pay-2024-25.pdf" TargetMode="External"/><Relationship Id="rId2" Type="http://schemas.openxmlformats.org/officeDocument/2006/relationships/hyperlink" Target="https://www.publications.scot.nhs.uk/files/pcs2024-afc-05.pdf" TargetMode="External"/><Relationship Id="rId1" Type="http://schemas.openxmlformats.org/officeDocument/2006/relationships/hyperlink" Target="https://digital.nhs.uk/data-and-information/publications/statistical/gp-earnings-and-expenses-estimates/2022-2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nice.org.uk/terms-and-condition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publichealthscotland.scot/publications/general-practice-disease-prevalence-data-visualisation/general-practice-disease-prevalence-data-visualisation-28-june-2022/" TargetMode="External"/><Relationship Id="rId3" Type="http://schemas.openxmlformats.org/officeDocument/2006/relationships/hyperlink" Target="https://www.asthmaandlung.org.uk/symptoms-tests-treatments/tests/bronchial-challenge-tests" TargetMode="External"/><Relationship Id="rId7" Type="http://schemas.openxmlformats.org/officeDocument/2006/relationships/hyperlink" Target="https://publichealthscotland.scot/publications/general-practice-disease-prevalence-data-visualisation/general-practice-disease-prevalence-visualisation-27-june-2023/" TargetMode="External"/><Relationship Id="rId2" Type="http://schemas.openxmlformats.org/officeDocument/2006/relationships/hyperlink" Target="https://bmcmedicine.biomedcentral.com/articles/10.1186/s12916-016-0657-8" TargetMode="External"/><Relationship Id="rId1" Type="http://schemas.openxmlformats.org/officeDocument/2006/relationships/hyperlink" Target="https://www.nrscotland.gov.uk/news/2024/scotlands-population-grows" TargetMode="External"/><Relationship Id="rId6" Type="http://schemas.openxmlformats.org/officeDocument/2006/relationships/hyperlink" Target="https://publichealthscotland.scot/publications/general-practice-disease-prevalence-data-visualisation/general-practice-disease-prevalence-data-visualisation-28-june-2022/" TargetMode="External"/><Relationship Id="rId5" Type="http://schemas.openxmlformats.org/officeDocument/2006/relationships/hyperlink" Target="https://publichealthscotland.scot/publications/general-practice-disease-prevalence-data-visualisation/general-practice-disease-prevalence-visualisation-27-june-2023/" TargetMode="External"/><Relationship Id="rId10" Type="http://schemas.openxmlformats.org/officeDocument/2006/relationships/printerSettings" Target="../printerSettings/printerSettings5.bin"/><Relationship Id="rId4" Type="http://schemas.openxmlformats.org/officeDocument/2006/relationships/hyperlink" Target="https://www.asthmaandlung.org.uk/sites/default/files/2023-03/aas-2020_2a-1.pdf" TargetMode="External"/><Relationship Id="rId9" Type="http://schemas.openxmlformats.org/officeDocument/2006/relationships/hyperlink" Target="https://www.nrscotland.gov.uk/statistics-and-data/statistics/statistics-by-theme/population/population-estimates/mid-year-population-estimates/mid-2023"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thehealthinnovationnetwork.co.uk/programmes/respiratory-disease/bettering-access-to-feno-testing-in-primary-care/" TargetMode="External"/><Relationship Id="rId2" Type="http://schemas.openxmlformats.org/officeDocument/2006/relationships/hyperlink" Target="https://www.hqip.org.uk/resource/drawing-breath-jan23/" TargetMode="External"/><Relationship Id="rId1" Type="http://schemas.openxmlformats.org/officeDocument/2006/relationships/hyperlink" Target="https://www.asthmaandlung.org.uk/investing-breath-measuring-economic-cost-asthma-copd-uk-identifying-ways-reduce-it-through-better"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s://bjgp.org/content/bjgp/74/739/86.full.pdf" TargetMode="External"/><Relationship Id="rId13" Type="http://schemas.openxmlformats.org/officeDocument/2006/relationships/hyperlink" Target="https://digital.nhs.uk/data-and-information/publications/statistical/hospital-accident--emergency-activity/2023-24" TargetMode="External"/><Relationship Id="rId3" Type="http://schemas.openxmlformats.org/officeDocument/2006/relationships/hyperlink" Target="https://bnf.nice.org.uk/drugs/mannitol/medicinal-forms/" TargetMode="External"/><Relationship Id="rId7" Type="http://schemas.openxmlformats.org/officeDocument/2006/relationships/hyperlink" Target="https://www.england.nhs.uk/pay-syst/national-tariff/national-tariff-payment-system/" TargetMode="External"/><Relationship Id="rId12" Type="http://schemas.openxmlformats.org/officeDocument/2006/relationships/hyperlink" Target="https://bjgp.org/content/bjgp/74/739/86.full.pdf" TargetMode="External"/><Relationship Id="rId2" Type="http://schemas.openxmlformats.org/officeDocument/2006/relationships/hyperlink" Target="https://www.england.nhs.uk/pay-syst/national-tariff/national-tariff-payment-system/" TargetMode="External"/><Relationship Id="rId1" Type="http://schemas.openxmlformats.org/officeDocument/2006/relationships/hyperlink" Target="https://www.england.nhs.uk/pay-syst/national-tariff/national-tariff-payment-system/" TargetMode="External"/><Relationship Id="rId6" Type="http://schemas.openxmlformats.org/officeDocument/2006/relationships/hyperlink" Target="https://www.ncbi.nlm.nih.gov/pmc/articles/PMC10236694/" TargetMode="External"/><Relationship Id="rId11" Type="http://schemas.openxmlformats.org/officeDocument/2006/relationships/hyperlink" Target="https://digital.nhs.uk/data-and-information/publications/statistical/hospital-admitted-patient-care-activity/2022-23" TargetMode="External"/><Relationship Id="rId5" Type="http://schemas.openxmlformats.org/officeDocument/2006/relationships/hyperlink" Target="https://abuhb.nhs.wales/files/patient-information-leaflets1/breathing-respiratory/nebuliser-care-of-your-nebuliser-pdf/" TargetMode="External"/><Relationship Id="rId10" Type="http://schemas.openxmlformats.org/officeDocument/2006/relationships/hyperlink" Target="https://bjgp.org/content/73/737/565/tab-figures-data" TargetMode="External"/><Relationship Id="rId4" Type="http://schemas.openxmlformats.org/officeDocument/2006/relationships/hyperlink" Target="https://my.supplychain.nhs.uk/catalogue/product/fag4203" TargetMode="External"/><Relationship Id="rId9" Type="http://schemas.openxmlformats.org/officeDocument/2006/relationships/hyperlink" Target="https://www.asthmaandlung.org.uk/investing-breath-measuring-economic-cost-asthma-copd-uk-identifying-ways-reduce-it-through-better" TargetMode="External"/><Relationship Id="rId1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14999847407452621"/>
    <pageSetUpPr fitToPage="1"/>
  </sheetPr>
  <dimension ref="B2:O24"/>
  <sheetViews>
    <sheetView showGridLines="0" tabSelected="1" zoomScale="80" zoomScaleNormal="80" zoomScaleSheetLayoutView="80" workbookViewId="0">
      <selection activeCell="T11" sqref="T11"/>
    </sheetView>
  </sheetViews>
  <sheetFormatPr defaultRowHeight="15" x14ac:dyDescent="0.25"/>
  <cols>
    <col min="1" max="1" width="1.42578125" customWidth="1"/>
    <col min="2" max="2" width="1.5703125" customWidth="1"/>
    <col min="5" max="5" width="11.5703125" customWidth="1"/>
    <col min="14" max="14" width="8.5703125" customWidth="1"/>
    <col min="15" max="15" width="17.5703125" customWidth="1"/>
    <col min="16" max="16" width="13.42578125" customWidth="1"/>
    <col min="21" max="21" width="31" customWidth="1"/>
  </cols>
  <sheetData>
    <row r="2" spans="2:15" x14ac:dyDescent="0.25">
      <c r="B2" s="509"/>
      <c r="C2" s="483"/>
      <c r="D2" s="483"/>
      <c r="E2" s="483"/>
      <c r="F2" s="483"/>
      <c r="G2" s="483"/>
      <c r="H2" s="483"/>
      <c r="I2" s="483"/>
      <c r="J2" s="483"/>
      <c r="K2" s="483"/>
      <c r="L2" s="483"/>
      <c r="M2" s="483"/>
      <c r="N2" s="483"/>
      <c r="O2" s="484"/>
    </row>
    <row r="3" spans="2:15" x14ac:dyDescent="0.25">
      <c r="B3" s="80"/>
      <c r="O3" s="79"/>
    </row>
    <row r="4" spans="2:15" x14ac:dyDescent="0.25">
      <c r="B4" s="80"/>
      <c r="C4" s="89"/>
      <c r="D4" s="89"/>
      <c r="E4" s="89"/>
      <c r="F4" s="89"/>
      <c r="G4" s="89"/>
      <c r="H4" s="89"/>
      <c r="I4" s="89"/>
      <c r="J4" s="89"/>
      <c r="K4" s="89"/>
      <c r="L4" s="89"/>
      <c r="M4" s="89"/>
      <c r="N4" s="89"/>
      <c r="O4" s="79"/>
    </row>
    <row r="5" spans="2:15" ht="31.5" x14ac:dyDescent="0.5">
      <c r="B5" s="80"/>
      <c r="C5" s="90" t="s">
        <v>872</v>
      </c>
      <c r="D5" s="89"/>
      <c r="E5" s="89"/>
      <c r="F5" s="89"/>
      <c r="G5" s="89"/>
      <c r="H5" s="89"/>
      <c r="I5" s="89"/>
      <c r="J5" s="89"/>
      <c r="K5" s="89"/>
      <c r="L5" s="89"/>
      <c r="M5" s="89"/>
      <c r="N5" s="89"/>
      <c r="O5" s="79"/>
    </row>
    <row r="6" spans="2:15" x14ac:dyDescent="0.25">
      <c r="B6" s="80"/>
      <c r="C6" s="89"/>
      <c r="D6" s="89"/>
      <c r="E6" s="89"/>
      <c r="F6" s="89"/>
      <c r="G6" s="89"/>
      <c r="H6" s="89"/>
      <c r="I6" s="89"/>
      <c r="J6" s="89"/>
      <c r="K6" s="89"/>
      <c r="L6" s="89"/>
      <c r="M6" s="89"/>
      <c r="N6" s="89"/>
      <c r="O6" s="79"/>
    </row>
    <row r="7" spans="2:15" x14ac:dyDescent="0.25">
      <c r="B7" s="80"/>
      <c r="O7" s="79"/>
    </row>
    <row r="8" spans="2:15" ht="31.5" x14ac:dyDescent="0.5">
      <c r="B8" s="80"/>
      <c r="C8" s="92" t="s">
        <v>0</v>
      </c>
      <c r="O8" s="79"/>
    </row>
    <row r="9" spans="2:15" ht="31.15" customHeight="1" x14ac:dyDescent="0.25">
      <c r="B9" s="80"/>
      <c r="C9" s="972" t="s">
        <v>1059</v>
      </c>
      <c r="D9" s="972"/>
      <c r="E9" s="972"/>
      <c r="F9" s="972"/>
      <c r="G9" s="972"/>
      <c r="H9" s="972"/>
      <c r="I9" s="972"/>
      <c r="J9" s="972"/>
      <c r="K9" s="972"/>
      <c r="L9" s="972"/>
      <c r="M9" s="972"/>
      <c r="N9" s="972"/>
      <c r="O9" s="79"/>
    </row>
    <row r="10" spans="2:15" ht="31.15" customHeight="1" x14ac:dyDescent="0.25">
      <c r="B10" s="80"/>
      <c r="C10" s="972"/>
      <c r="D10" s="972"/>
      <c r="E10" s="972"/>
      <c r="F10" s="972"/>
      <c r="G10" s="972"/>
      <c r="H10" s="972"/>
      <c r="I10" s="972"/>
      <c r="J10" s="972"/>
      <c r="K10" s="972"/>
      <c r="L10" s="972"/>
      <c r="M10" s="972"/>
      <c r="N10" s="972"/>
      <c r="O10" s="79"/>
    </row>
    <row r="11" spans="2:15" ht="31.5" x14ac:dyDescent="0.25">
      <c r="B11" s="80"/>
      <c r="C11" s="177"/>
      <c r="O11" s="79"/>
    </row>
    <row r="12" spans="2:15" ht="31.5" x14ac:dyDescent="0.5">
      <c r="B12" s="80"/>
      <c r="C12" s="177" t="s">
        <v>1075</v>
      </c>
      <c r="D12" s="93"/>
      <c r="O12" s="79"/>
    </row>
    <row r="13" spans="2:15" ht="31.5" x14ac:dyDescent="0.5">
      <c r="B13" s="80"/>
      <c r="D13" s="93"/>
      <c r="O13" s="79"/>
    </row>
    <row r="14" spans="2:15" ht="31.5" x14ac:dyDescent="0.5">
      <c r="B14" s="80"/>
      <c r="C14" s="91" t="s">
        <v>1076</v>
      </c>
      <c r="D14" s="93"/>
      <c r="O14" s="79"/>
    </row>
    <row r="15" spans="2:15" x14ac:dyDescent="0.25">
      <c r="B15" s="80"/>
      <c r="O15" s="79"/>
    </row>
    <row r="16" spans="2:15" x14ac:dyDescent="0.25">
      <c r="B16" s="80"/>
      <c r="O16" s="79"/>
    </row>
    <row r="17" spans="2:15" x14ac:dyDescent="0.25">
      <c r="B17" s="80"/>
      <c r="C17" s="475" t="s">
        <v>2</v>
      </c>
      <c r="D17" s="106"/>
      <c r="E17" s="389"/>
      <c r="F17" s="126" t="s">
        <v>843</v>
      </c>
      <c r="G17" s="106"/>
      <c r="H17" s="106"/>
      <c r="I17" s="106"/>
      <c r="J17" s="106"/>
      <c r="K17" s="106"/>
      <c r="L17" s="106"/>
      <c r="M17" s="389"/>
      <c r="O17" s="79"/>
    </row>
    <row r="18" spans="2:15" x14ac:dyDescent="0.25">
      <c r="B18" s="80"/>
      <c r="C18" s="475" t="s">
        <v>3</v>
      </c>
      <c r="D18" s="106"/>
      <c r="E18" s="389"/>
      <c r="F18" s="126" t="s">
        <v>844</v>
      </c>
      <c r="G18" s="106"/>
      <c r="H18" s="106"/>
      <c r="I18" s="106"/>
      <c r="J18" s="106"/>
      <c r="K18" s="106"/>
      <c r="L18" s="106"/>
      <c r="M18" s="389"/>
      <c r="O18" s="79"/>
    </row>
    <row r="19" spans="2:15" x14ac:dyDescent="0.25">
      <c r="B19" s="80"/>
      <c r="C19" s="475" t="s">
        <v>4</v>
      </c>
      <c r="D19" s="106"/>
      <c r="E19" s="389"/>
      <c r="F19" s="126" t="s">
        <v>845</v>
      </c>
      <c r="G19" s="106"/>
      <c r="H19" s="106"/>
      <c r="I19" s="106"/>
      <c r="J19" s="106"/>
      <c r="K19" s="106"/>
      <c r="L19" s="106"/>
      <c r="M19" s="389"/>
      <c r="O19" s="79"/>
    </row>
    <row r="20" spans="2:15" x14ac:dyDescent="0.25">
      <c r="B20" s="80"/>
      <c r="C20" s="475" t="s">
        <v>5</v>
      </c>
      <c r="D20" s="106"/>
      <c r="E20" s="389"/>
      <c r="F20" s="126" t="s">
        <v>846</v>
      </c>
      <c r="G20" s="106"/>
      <c r="H20" s="106"/>
      <c r="I20" s="106"/>
      <c r="J20" s="106"/>
      <c r="K20" s="106"/>
      <c r="L20" s="106"/>
      <c r="M20" s="389"/>
      <c r="O20" s="79"/>
    </row>
    <row r="21" spans="2:15" x14ac:dyDescent="0.25">
      <c r="B21" s="80"/>
      <c r="C21" s="126" t="s">
        <v>6</v>
      </c>
      <c r="D21" s="106"/>
      <c r="E21" s="389"/>
      <c r="F21" s="126" t="s">
        <v>847</v>
      </c>
      <c r="G21" s="106"/>
      <c r="H21" s="106"/>
      <c r="I21" s="106"/>
      <c r="J21" s="106"/>
      <c r="K21" s="106"/>
      <c r="L21" s="106"/>
      <c r="M21" s="389"/>
      <c r="O21" s="79"/>
    </row>
    <row r="22" spans="2:15" x14ac:dyDescent="0.25">
      <c r="B22" s="80"/>
      <c r="C22" s="475" t="s">
        <v>7</v>
      </c>
      <c r="D22" s="106"/>
      <c r="E22" s="389"/>
      <c r="F22" s="126" t="s">
        <v>848</v>
      </c>
      <c r="G22" s="106"/>
      <c r="H22" s="106"/>
      <c r="I22" s="106"/>
      <c r="J22" s="106"/>
      <c r="K22" s="106"/>
      <c r="L22" s="106"/>
      <c r="M22" s="389"/>
      <c r="O22" s="79"/>
    </row>
    <row r="23" spans="2:15" x14ac:dyDescent="0.25">
      <c r="B23" s="80"/>
      <c r="C23" s="475" t="s">
        <v>8</v>
      </c>
      <c r="D23" s="106"/>
      <c r="E23" s="389"/>
      <c r="F23" s="126" t="s">
        <v>873</v>
      </c>
      <c r="G23" s="106"/>
      <c r="H23" s="106"/>
      <c r="I23" s="106"/>
      <c r="J23" s="106"/>
      <c r="K23" s="106"/>
      <c r="L23" s="106"/>
      <c r="M23" s="389"/>
      <c r="O23" s="79"/>
    </row>
    <row r="24" spans="2:15" x14ac:dyDescent="0.25">
      <c r="B24" s="81"/>
      <c r="C24" s="82"/>
      <c r="D24" s="82"/>
      <c r="E24" s="82"/>
      <c r="F24" s="82"/>
      <c r="G24" s="82"/>
      <c r="H24" s="82"/>
      <c r="I24" s="82"/>
      <c r="J24" s="82"/>
      <c r="K24" s="82"/>
      <c r="L24" s="82"/>
      <c r="M24" s="82"/>
      <c r="N24" s="82"/>
      <c r="O24" s="83"/>
    </row>
  </sheetData>
  <sheetProtection algorithmName="SHA-512" hashValue="1EIK7TU4dRXBIxcYnBJYyJ3H25QpHjnh816psRIgsUEM0/Zciak2BkDuDDitzkMAXXKQEsmzzmKOjErPb7abGg==" saltValue="p9XT3F4JexaZUX3IR/c5OQ==" spinCount="100000" sheet="1" objects="1" scenarios="1"/>
  <mergeCells count="1">
    <mergeCell ref="C9:N10"/>
  </mergeCells>
  <pageMargins left="0.23622047244094491" right="0.23622047244094491" top="0.74803149606299213" bottom="0.74803149606299213" header="0.31496062992125984" footer="0.31496062992125984"/>
  <pageSetup paperSize="9" scale="89" fitToHeight="0" orientation="portrait" verticalDpi="300" r:id="rId1"/>
  <headerFooter>
    <oddHeader>&amp;R&amp;G</oddHeader>
    <oddFooter>&amp;CDraft.  Subject to change</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207F5-C3E9-4E28-A4CE-1F3C792FCD3E}">
  <sheetPr>
    <tabColor theme="8" tint="-0.499984740745262"/>
    <pageSetUpPr fitToPage="1"/>
  </sheetPr>
  <dimension ref="A1:AN93"/>
  <sheetViews>
    <sheetView showGridLines="0" zoomScale="80" zoomScaleNormal="80" zoomScaleSheetLayoutView="30" workbookViewId="0">
      <selection activeCell="O36" sqref="O36"/>
    </sheetView>
  </sheetViews>
  <sheetFormatPr defaultColWidth="8.5703125" defaultRowHeight="15" x14ac:dyDescent="0.25"/>
  <cols>
    <col min="1" max="1" width="3.5703125" customWidth="1"/>
    <col min="2" max="2" width="56.5703125" style="1" customWidth="1"/>
    <col min="3" max="3" width="25" customWidth="1"/>
    <col min="4" max="9" width="12.5703125" customWidth="1"/>
    <col min="10" max="10" width="1.5703125" customWidth="1"/>
    <col min="11" max="18" width="11.5703125" customWidth="1"/>
    <col min="19" max="19" width="11.42578125" customWidth="1"/>
    <col min="20" max="20" width="11.5703125" customWidth="1"/>
    <col min="21" max="23" width="10.5703125" customWidth="1"/>
    <col min="24" max="24" width="20.85546875" customWidth="1"/>
    <col min="25" max="26" width="10.5703125" customWidth="1"/>
    <col min="28" max="41" width="0" hidden="1" customWidth="1"/>
  </cols>
  <sheetData>
    <row r="1" spans="1:40" ht="30" customHeight="1" x14ac:dyDescent="0.25">
      <c r="B1" s="264" t="str">
        <f>'Inputs and eligible population'!B1</f>
        <v>Asthma: diagnosis, monitoring and chronic asthma management</v>
      </c>
      <c r="C1" s="60"/>
      <c r="D1" s="60"/>
      <c r="F1" s="60"/>
      <c r="G1" s="60"/>
      <c r="H1" s="60"/>
      <c r="I1" s="60"/>
      <c r="J1" s="60"/>
      <c r="K1" s="60"/>
      <c r="L1" s="60"/>
      <c r="M1" s="60"/>
      <c r="N1" s="60"/>
      <c r="O1" s="60"/>
      <c r="P1" s="60"/>
      <c r="R1" s="60"/>
      <c r="S1" s="60"/>
      <c r="T1" s="60"/>
      <c r="U1" s="60"/>
      <c r="V1" s="60"/>
      <c r="W1" s="60"/>
      <c r="X1" s="60"/>
      <c r="Y1" s="60"/>
      <c r="Z1" s="60"/>
    </row>
    <row r="2" spans="1:40" ht="42.6" customHeight="1" x14ac:dyDescent="0.25">
      <c r="B2" s="114" t="s">
        <v>647</v>
      </c>
      <c r="C2" s="60" t="s">
        <v>494</v>
      </c>
      <c r="D2" s="60" t="s">
        <v>494</v>
      </c>
      <c r="E2" s="245"/>
      <c r="F2" s="60" t="s">
        <v>494</v>
      </c>
      <c r="G2" s="60" t="s">
        <v>494</v>
      </c>
      <c r="H2" s="60" t="s">
        <v>494</v>
      </c>
      <c r="I2" s="60" t="s">
        <v>494</v>
      </c>
      <c r="J2" s="60"/>
      <c r="K2" s="60"/>
      <c r="L2" s="60"/>
      <c r="M2" s="60"/>
      <c r="N2" s="60"/>
      <c r="O2" s="60"/>
      <c r="P2" s="60"/>
      <c r="Q2" s="60"/>
      <c r="R2" s="60"/>
      <c r="S2" s="60"/>
      <c r="T2" s="60"/>
      <c r="U2" s="60"/>
      <c r="V2" s="60"/>
      <c r="W2" s="60"/>
      <c r="X2" s="60"/>
      <c r="Y2" s="60"/>
      <c r="Z2" s="60"/>
    </row>
    <row r="3" spans="1:40" ht="14.85" customHeight="1" x14ac:dyDescent="0.25">
      <c r="B3" s="62" t="s">
        <v>494</v>
      </c>
      <c r="C3" s="65" t="s">
        <v>494</v>
      </c>
      <c r="D3" s="65" t="s">
        <v>494</v>
      </c>
      <c r="F3" s="65" t="s">
        <v>494</v>
      </c>
      <c r="G3" s="65" t="s">
        <v>494</v>
      </c>
      <c r="H3" s="65" t="s">
        <v>494</v>
      </c>
      <c r="I3" s="65" t="s">
        <v>494</v>
      </c>
      <c r="J3" s="60"/>
      <c r="K3" s="60"/>
      <c r="L3" s="60"/>
      <c r="M3" s="60"/>
      <c r="N3" s="60"/>
      <c r="O3" s="60"/>
      <c r="P3" s="60"/>
      <c r="Q3" s="65"/>
      <c r="R3" s="65"/>
      <c r="S3" s="65"/>
      <c r="T3" s="65"/>
      <c r="U3" s="65"/>
      <c r="V3" s="65"/>
      <c r="W3" s="65"/>
      <c r="X3" s="65"/>
      <c r="Y3" s="65"/>
      <c r="Z3" s="65"/>
    </row>
    <row r="4" spans="1:40" ht="14.85" customHeight="1" x14ac:dyDescent="0.25">
      <c r="B4" t="s">
        <v>648</v>
      </c>
      <c r="C4" s="65"/>
      <c r="D4" s="65"/>
      <c r="F4" s="65"/>
      <c r="G4" s="65"/>
      <c r="H4" s="65"/>
      <c r="I4" s="65"/>
      <c r="J4" s="65"/>
      <c r="K4" s="65"/>
      <c r="L4" s="65"/>
      <c r="M4" s="65"/>
      <c r="N4" s="65"/>
      <c r="O4" s="65"/>
      <c r="P4" s="65"/>
      <c r="Q4" s="65"/>
      <c r="R4" s="65"/>
      <c r="S4" s="65"/>
      <c r="T4" s="65"/>
      <c r="U4" s="65"/>
      <c r="V4" s="65"/>
      <c r="W4" s="65"/>
      <c r="X4" s="65"/>
      <c r="Y4" s="65"/>
      <c r="Z4" s="65"/>
    </row>
    <row r="5" spans="1:40" ht="14.85" customHeight="1" x14ac:dyDescent="0.25">
      <c r="B5" s="5"/>
      <c r="F5" s="65"/>
      <c r="G5" s="65"/>
      <c r="H5" s="65"/>
      <c r="I5" s="65"/>
      <c r="J5" s="65"/>
      <c r="K5" s="65"/>
      <c r="L5" s="65"/>
      <c r="M5" s="65"/>
      <c r="N5" s="65"/>
      <c r="O5" s="65"/>
      <c r="P5" s="65"/>
      <c r="Q5" s="65"/>
      <c r="R5" s="65"/>
      <c r="S5" s="65"/>
      <c r="T5" s="65"/>
      <c r="U5" s="65"/>
      <c r="V5" s="65"/>
      <c r="W5" s="65"/>
      <c r="X5" s="65"/>
      <c r="Y5" s="65"/>
      <c r="Z5" s="65"/>
    </row>
    <row r="6" spans="1:40" ht="45" x14ac:dyDescent="0.25">
      <c r="B6" s="139" t="s">
        <v>642</v>
      </c>
      <c r="C6" s="506"/>
      <c r="D6" s="674" t="s">
        <v>643</v>
      </c>
      <c r="E6" s="662" t="s">
        <v>434</v>
      </c>
      <c r="F6" s="662" t="s">
        <v>435</v>
      </c>
      <c r="G6" s="612" t="s">
        <v>613</v>
      </c>
      <c r="H6" s="612" t="s">
        <v>614</v>
      </c>
      <c r="I6" s="662" t="s">
        <v>615</v>
      </c>
      <c r="L6" s="674" t="s">
        <v>643</v>
      </c>
      <c r="M6" s="662" t="s">
        <v>434</v>
      </c>
      <c r="N6" s="662" t="s">
        <v>435</v>
      </c>
      <c r="O6" s="612" t="s">
        <v>613</v>
      </c>
      <c r="P6" s="612" t="s">
        <v>614</v>
      </c>
      <c r="Q6" s="662" t="s">
        <v>615</v>
      </c>
      <c r="R6" s="65"/>
      <c r="S6" s="65"/>
      <c r="T6" s="65"/>
      <c r="U6" s="65"/>
      <c r="V6" s="65"/>
      <c r="W6" s="65"/>
      <c r="X6" s="65"/>
      <c r="Y6" s="65"/>
      <c r="Z6" s="65"/>
      <c r="AJ6" s="152"/>
      <c r="AK6" s="152"/>
      <c r="AL6" s="152"/>
      <c r="AM6" s="152"/>
      <c r="AN6" s="152"/>
    </row>
    <row r="7" spans="1:40" x14ac:dyDescent="0.25">
      <c r="B7" s="118" t="s">
        <v>642</v>
      </c>
      <c r="C7" s="389"/>
      <c r="D7" s="665">
        <f>'Inputs and eligible population'!F50</f>
        <v>404754.16519999999</v>
      </c>
      <c r="E7" s="665">
        <f>'Inputs and eligible population'!G50</f>
        <v>407992.19852159999</v>
      </c>
      <c r="F7" s="665">
        <f>'Inputs and eligible population'!H50</f>
        <v>411256.13610977284</v>
      </c>
      <c r="G7" s="665">
        <f>'Inputs and eligible population'!I50</f>
        <v>414546.18519865104</v>
      </c>
      <c r="H7" s="665">
        <f>'Inputs and eligible population'!J50</f>
        <v>417862.55468024028</v>
      </c>
      <c r="I7" s="665">
        <f>'Inputs and eligible population'!K50</f>
        <v>421205.45511768217</v>
      </c>
      <c r="P7" s="65"/>
      <c r="Q7" s="65"/>
      <c r="R7" s="65"/>
      <c r="S7" s="65"/>
      <c r="T7" s="65"/>
      <c r="U7" s="65"/>
      <c r="V7" s="65"/>
      <c r="W7" s="65"/>
      <c r="X7" s="65"/>
      <c r="Y7" s="65"/>
      <c r="Z7" s="65"/>
      <c r="AJ7" s="152"/>
      <c r="AK7" s="152"/>
      <c r="AL7" s="152"/>
      <c r="AM7" s="152"/>
      <c r="AN7" s="152"/>
    </row>
    <row r="8" spans="1:40" x14ac:dyDescent="0.25">
      <c r="B8"/>
      <c r="P8" s="65"/>
      <c r="Q8" s="65"/>
      <c r="R8" s="65"/>
      <c r="S8" s="65"/>
      <c r="T8" s="65"/>
      <c r="U8" s="65"/>
      <c r="V8" s="65"/>
      <c r="W8" s="65"/>
      <c r="X8" s="65"/>
      <c r="Y8" s="65"/>
      <c r="Z8" s="65"/>
      <c r="AJ8" s="152"/>
      <c r="AK8" s="152"/>
      <c r="AL8" s="152"/>
      <c r="AM8" s="152"/>
      <c r="AN8" s="152"/>
    </row>
    <row r="9" spans="1:40" x14ac:dyDescent="0.25">
      <c r="B9" s="148" t="s">
        <v>649</v>
      </c>
      <c r="C9" s="210"/>
      <c r="D9" s="210"/>
      <c r="E9" s="211"/>
      <c r="F9" s="210"/>
      <c r="G9" s="212"/>
      <c r="H9" s="213"/>
      <c r="I9" s="687"/>
      <c r="L9" s="652" t="s">
        <v>622</v>
      </c>
      <c r="M9" s="652" t="s">
        <v>622</v>
      </c>
      <c r="N9" s="652" t="s">
        <v>622</v>
      </c>
      <c r="O9" s="652" t="s">
        <v>622</v>
      </c>
      <c r="P9" s="652" t="s">
        <v>622</v>
      </c>
      <c r="Q9" s="652" t="s">
        <v>622</v>
      </c>
      <c r="R9" s="65"/>
      <c r="S9" s="65"/>
      <c r="T9" s="65"/>
      <c r="U9" s="65"/>
      <c r="V9" s="65"/>
      <c r="W9" s="65"/>
      <c r="X9" s="65"/>
      <c r="Y9" s="65"/>
      <c r="Z9" s="65"/>
      <c r="AJ9" s="152"/>
      <c r="AK9" s="152"/>
      <c r="AL9" s="152"/>
      <c r="AM9" s="152"/>
      <c r="AN9" s="152"/>
    </row>
    <row r="10" spans="1:40" x14ac:dyDescent="0.25">
      <c r="A10" s="154"/>
      <c r="B10" s="277" t="str">
        <f>B22</f>
        <v>Specialty appointments attendances (bronchial challenge test second opinion)</v>
      </c>
      <c r="C10" s="688"/>
      <c r="D10" s="689">
        <f t="shared" ref="D10:I10" si="0">D25</f>
        <v>0</v>
      </c>
      <c r="E10" s="689">
        <f t="shared" si="0"/>
        <v>1844.5409275305185</v>
      </c>
      <c r="F10" s="689">
        <f t="shared" si="0"/>
        <v>2788.9458824261437</v>
      </c>
      <c r="G10" s="689">
        <f t="shared" si="0"/>
        <v>3748.3432659807386</v>
      </c>
      <c r="H10" s="689">
        <f t="shared" si="0"/>
        <v>3778.330012108584</v>
      </c>
      <c r="I10" s="689">
        <f t="shared" si="0"/>
        <v>3808.5566522054528</v>
      </c>
      <c r="L10" s="614"/>
      <c r="M10" s="614"/>
      <c r="N10" s="614"/>
      <c r="O10" s="614"/>
      <c r="P10" s="691"/>
      <c r="Q10" s="691"/>
      <c r="R10" s="65"/>
      <c r="S10" s="65"/>
      <c r="T10" s="65"/>
      <c r="U10" s="65"/>
      <c r="V10" s="65"/>
      <c r="W10" s="65"/>
      <c r="X10" s="65"/>
      <c r="Y10" s="65"/>
      <c r="Z10" s="65"/>
      <c r="AJ10" s="152"/>
      <c r="AK10" s="152"/>
      <c r="AL10" s="152"/>
      <c r="AM10" s="152"/>
      <c r="AN10" s="152"/>
    </row>
    <row r="11" spans="1:40" x14ac:dyDescent="0.25">
      <c r="A11" s="154"/>
      <c r="B11" s="277" t="str">
        <f>B28</f>
        <v>Specialty appointments hours and cost</v>
      </c>
      <c r="C11" s="688"/>
      <c r="D11" s="689">
        <f>D31</f>
        <v>0</v>
      </c>
      <c r="E11" s="689">
        <f t="shared" ref="E11:I11" si="1">E31</f>
        <v>2766.8113912957779</v>
      </c>
      <c r="F11" s="689">
        <f t="shared" si="1"/>
        <v>4183.4188236392156</v>
      </c>
      <c r="G11" s="689">
        <f t="shared" si="1"/>
        <v>5622.5148989711079</v>
      </c>
      <c r="H11" s="689">
        <f t="shared" si="1"/>
        <v>5667.4950181628765</v>
      </c>
      <c r="I11" s="689">
        <f t="shared" si="1"/>
        <v>5712.8349783081794</v>
      </c>
      <c r="L11" s="690">
        <f>L31</f>
        <v>0</v>
      </c>
      <c r="M11" s="690">
        <f>N31</f>
        <v>349.83563231543815</v>
      </c>
      <c r="N11" s="690">
        <f>M31</f>
        <v>349.83563231543815</v>
      </c>
      <c r="O11" s="690">
        <f t="shared" ref="O11:Q11" si="2">O31</f>
        <v>710.91078382590683</v>
      </c>
      <c r="P11" s="690">
        <f t="shared" si="2"/>
        <v>716.59807009651411</v>
      </c>
      <c r="Q11" s="690">
        <f t="shared" si="2"/>
        <v>722.33085465728618</v>
      </c>
      <c r="R11" s="65"/>
      <c r="S11" s="65"/>
      <c r="T11" s="65"/>
      <c r="U11" s="65"/>
      <c r="V11" s="65"/>
      <c r="W11" s="65"/>
      <c r="X11" s="65"/>
      <c r="Y11" s="65"/>
      <c r="Z11" s="65"/>
      <c r="AJ11" s="152"/>
      <c r="AK11" s="152"/>
      <c r="AL11" s="152"/>
      <c r="AM11" s="152"/>
      <c r="AN11" s="152"/>
    </row>
    <row r="12" spans="1:40" x14ac:dyDescent="0.25">
      <c r="A12" s="153"/>
      <c r="B12" s="214" t="str">
        <f>B35</f>
        <v>Primary care - number of tests</v>
      </c>
      <c r="C12" s="436"/>
      <c r="D12" s="692">
        <f>D40</f>
        <v>393004.23311375163</v>
      </c>
      <c r="E12" s="692">
        <f t="shared" ref="E12:I12" si="3">E40</f>
        <v>396148.26697866165</v>
      </c>
      <c r="F12" s="692">
        <f t="shared" si="3"/>
        <v>399317.45311449096</v>
      </c>
      <c r="G12" s="692">
        <f t="shared" si="3"/>
        <v>402511.99273940688</v>
      </c>
      <c r="H12" s="692">
        <f t="shared" si="3"/>
        <v>405732.08868132217</v>
      </c>
      <c r="I12" s="692">
        <f t="shared" si="3"/>
        <v>408977.94539077271</v>
      </c>
      <c r="L12" s="744"/>
      <c r="M12" s="744"/>
      <c r="N12" s="744"/>
      <c r="O12" s="744"/>
      <c r="P12" s="744"/>
      <c r="Q12" s="744"/>
      <c r="R12" s="65"/>
      <c r="S12" s="65"/>
      <c r="T12" s="65"/>
      <c r="U12" s="65"/>
      <c r="V12" s="65"/>
      <c r="W12" s="65"/>
      <c r="X12" s="65"/>
      <c r="Y12" s="65"/>
      <c r="Z12" s="65"/>
      <c r="AJ12" s="152"/>
      <c r="AK12" s="152"/>
      <c r="AL12" s="152"/>
      <c r="AM12" s="152"/>
      <c r="AN12" s="152"/>
    </row>
    <row r="13" spans="1:40" x14ac:dyDescent="0.25">
      <c r="A13" s="153"/>
      <c r="B13" s="214" t="s">
        <v>749</v>
      </c>
      <c r="C13" s="436"/>
      <c r="D13" s="692">
        <f>D49</f>
        <v>158839.21088347462</v>
      </c>
      <c r="E13" s="692">
        <f t="shared" ref="E13:I13" si="4">E49</f>
        <v>159779.80101472687</v>
      </c>
      <c r="F13" s="692">
        <f t="shared" si="4"/>
        <v>160725.2748785826</v>
      </c>
      <c r="G13" s="692">
        <f t="shared" si="4"/>
        <v>161675.65041699511</v>
      </c>
      <c r="H13" s="692">
        <f t="shared" si="4"/>
        <v>162630.94554642998</v>
      </c>
      <c r="I13" s="692">
        <f t="shared" si="4"/>
        <v>163591.17815630909</v>
      </c>
      <c r="L13" s="690">
        <f>L49</f>
        <v>8324.7630424029048</v>
      </c>
      <c r="M13" s="690">
        <f t="shared" ref="M13:Q13" si="5">M49</f>
        <v>8374.0593711818346</v>
      </c>
      <c r="N13" s="690">
        <f t="shared" si="5"/>
        <v>8423.6116563865144</v>
      </c>
      <c r="O13" s="690">
        <f t="shared" si="5"/>
        <v>8473.420838354712</v>
      </c>
      <c r="P13" s="690">
        <f t="shared" si="5"/>
        <v>8523.4878560883953</v>
      </c>
      <c r="Q13" s="690">
        <f t="shared" si="5"/>
        <v>8573.8136471721591</v>
      </c>
      <c r="R13" s="65"/>
      <c r="S13" s="65"/>
      <c r="T13" s="65"/>
      <c r="U13" s="65"/>
      <c r="V13" s="65"/>
      <c r="W13" s="65"/>
      <c r="X13" s="65"/>
      <c r="Y13" s="65"/>
      <c r="Z13" s="65"/>
      <c r="AJ13" s="152"/>
      <c r="AK13" s="152"/>
      <c r="AL13" s="152"/>
      <c r="AM13" s="152"/>
      <c r="AN13" s="152"/>
    </row>
    <row r="14" spans="1:40" x14ac:dyDescent="0.25">
      <c r="A14" s="153"/>
      <c r="B14" s="214" t="str">
        <f>B53</f>
        <v>Secondary care - number of tests</v>
      </c>
      <c r="C14" s="436"/>
      <c r="D14" s="692">
        <f>D58</f>
        <v>32082.173350914622</v>
      </c>
      <c r="E14" s="692">
        <f t="shared" ref="E14:I14" si="6">E58</f>
        <v>32338.830737721939</v>
      </c>
      <c r="F14" s="692">
        <f t="shared" si="6"/>
        <v>32597.541383623717</v>
      </c>
      <c r="G14" s="692">
        <f t="shared" si="6"/>
        <v>32858.321714692705</v>
      </c>
      <c r="H14" s="692">
        <f t="shared" si="6"/>
        <v>33121.188288410252</v>
      </c>
      <c r="I14" s="692">
        <f t="shared" si="6"/>
        <v>33386.157794717532</v>
      </c>
      <c r="L14" s="614"/>
      <c r="M14" s="614"/>
      <c r="N14" s="614"/>
      <c r="O14" s="614"/>
      <c r="P14" s="691"/>
      <c r="Q14" s="691"/>
      <c r="R14" s="65"/>
      <c r="S14" s="65"/>
      <c r="T14" s="65"/>
      <c r="U14" s="65"/>
      <c r="V14" s="65"/>
      <c r="W14" s="65"/>
      <c r="X14" s="65"/>
      <c r="Y14" s="65"/>
      <c r="Z14" s="65"/>
      <c r="AJ14" s="152"/>
      <c r="AK14" s="152"/>
      <c r="AL14" s="152"/>
      <c r="AM14" s="152"/>
      <c r="AN14" s="152"/>
    </row>
    <row r="15" spans="1:40" x14ac:dyDescent="0.25">
      <c r="A15" s="153"/>
      <c r="B15" s="214" t="str">
        <f>B62</f>
        <v>Secondary care - hours required for test</v>
      </c>
      <c r="C15" s="436"/>
      <c r="D15" s="692">
        <f>D67</f>
        <v>11727.709082078327</v>
      </c>
      <c r="E15" s="692">
        <f t="shared" ref="E15:I15" si="7">E67</f>
        <v>11821.530754734955</v>
      </c>
      <c r="F15" s="692">
        <f t="shared" si="7"/>
        <v>11916.103000772837</v>
      </c>
      <c r="G15" s="692">
        <f t="shared" si="7"/>
        <v>12011.431824779018</v>
      </c>
      <c r="H15" s="692">
        <f t="shared" si="7"/>
        <v>12107.52327937725</v>
      </c>
      <c r="I15" s="692">
        <f t="shared" si="7"/>
        <v>12204.383465612269</v>
      </c>
      <c r="L15" s="690">
        <f>L58</f>
        <v>4598.912890242781</v>
      </c>
      <c r="M15" s="690">
        <f t="shared" ref="M15:Q15" si="8">M58</f>
        <v>4635.7041933647233</v>
      </c>
      <c r="N15" s="690">
        <f t="shared" si="8"/>
        <v>4672.7898269116422</v>
      </c>
      <c r="O15" s="690">
        <f t="shared" si="8"/>
        <v>4710.1721455269353</v>
      </c>
      <c r="P15" s="690">
        <f t="shared" si="8"/>
        <v>4747.8535226911508</v>
      </c>
      <c r="Q15" s="690">
        <f t="shared" si="8"/>
        <v>4785.8363508726807</v>
      </c>
      <c r="R15" s="65"/>
      <c r="S15" s="65"/>
      <c r="T15" s="65"/>
      <c r="U15" s="65"/>
      <c r="V15" s="65"/>
      <c r="W15" s="65"/>
      <c r="X15" s="65"/>
      <c r="Y15" s="65"/>
      <c r="Z15" s="65"/>
      <c r="AJ15" s="152"/>
      <c r="AK15" s="152"/>
      <c r="AL15" s="152"/>
      <c r="AM15" s="152"/>
      <c r="AN15" s="152"/>
    </row>
    <row r="16" spans="1:40" x14ac:dyDescent="0.25">
      <c r="A16" s="153"/>
      <c r="B16" s="214" t="str">
        <f>B71</f>
        <v>Nursing staffing - reduced use of PEF test for monitoring</v>
      </c>
      <c r="C16" s="436"/>
      <c r="D16" s="692">
        <f>D75</f>
        <v>0</v>
      </c>
      <c r="E16" s="692">
        <f t="shared" ref="E16:I16" si="9">E75</f>
        <v>-9442.5714425839087</v>
      </c>
      <c r="F16" s="692">
        <f t="shared" si="9"/>
        <v>-14277.168021186875</v>
      </c>
      <c r="G16" s="692">
        <f t="shared" si="9"/>
        <v>-19188.51382047516</v>
      </c>
      <c r="H16" s="692">
        <f t="shared" si="9"/>
        <v>-24177.527413798703</v>
      </c>
      <c r="I16" s="692">
        <f t="shared" si="9"/>
        <v>-29245.137159730908</v>
      </c>
      <c r="L16" s="690">
        <f>L75</f>
        <v>0</v>
      </c>
      <c r="M16" s="690">
        <f t="shared" ref="M16:Q16" si="10">M75</f>
        <v>-494.88516930582261</v>
      </c>
      <c r="N16" s="690">
        <f t="shared" si="10"/>
        <v>-748.26637599040407</v>
      </c>
      <c r="O16" s="690">
        <f t="shared" si="10"/>
        <v>-1005.6700093311031</v>
      </c>
      <c r="P16" s="690">
        <f t="shared" si="10"/>
        <v>-1267.1442117571901</v>
      </c>
      <c r="Q16" s="690">
        <f t="shared" si="10"/>
        <v>-1532.7376385414968</v>
      </c>
      <c r="R16" s="65"/>
      <c r="S16" s="65"/>
      <c r="T16" s="65"/>
      <c r="U16" s="65"/>
      <c r="V16" s="65"/>
      <c r="W16" s="65"/>
      <c r="X16" s="65"/>
      <c r="Y16" s="65"/>
      <c r="Z16" s="65"/>
      <c r="AJ16" s="152"/>
      <c r="AK16" s="152"/>
      <c r="AL16" s="152"/>
      <c r="AM16" s="152"/>
      <c r="AN16" s="152"/>
    </row>
    <row r="17" spans="1:40" x14ac:dyDescent="0.25">
      <c r="A17" s="155"/>
      <c r="B17" s="215" t="str">
        <f>B79</f>
        <v>Adverse events - reduced exacerbations - FeNO monitoring (bed days released)</v>
      </c>
      <c r="C17" s="693"/>
      <c r="D17" s="694">
        <f>D83</f>
        <v>0</v>
      </c>
      <c r="E17" s="694">
        <f t="shared" ref="E17:I17" si="11">E83</f>
        <v>-73.685788088765776</v>
      </c>
      <c r="F17" s="694">
        <f t="shared" si="11"/>
        <v>-61.648477746584987</v>
      </c>
      <c r="G17" s="694">
        <f t="shared" si="11"/>
        <v>-51.577582421902733</v>
      </c>
      <c r="H17" s="694">
        <f t="shared" si="11"/>
        <v>-43.151868557460823</v>
      </c>
      <c r="I17" s="694">
        <f t="shared" si="11"/>
        <v>-36.10257930991402</v>
      </c>
      <c r="J17" s="65"/>
      <c r="K17" s="65"/>
      <c r="L17" s="690">
        <f>L83</f>
        <v>0</v>
      </c>
      <c r="M17" s="690">
        <f>M83</f>
        <v>-17.036154206122649</v>
      </c>
      <c r="N17" s="690">
        <f t="shared" ref="N17:Q17" si="12">N83</f>
        <v>-14.25312805501045</v>
      </c>
      <c r="O17" s="690">
        <f t="shared" si="12"/>
        <v>-11.924737055943913</v>
      </c>
      <c r="P17" s="690">
        <f t="shared" si="12"/>
        <v>-9.9767120104849436</v>
      </c>
      <c r="Q17" s="690">
        <f t="shared" si="12"/>
        <v>-8.3469163364521233</v>
      </c>
      <c r="R17" s="65"/>
      <c r="S17" s="65"/>
      <c r="T17" s="65"/>
      <c r="U17" s="65"/>
      <c r="V17" s="65"/>
      <c r="W17" s="65"/>
      <c r="X17" s="65"/>
      <c r="Y17" s="65"/>
      <c r="Z17" s="65"/>
    </row>
    <row r="18" spans="1:40" x14ac:dyDescent="0.25">
      <c r="A18" s="155"/>
      <c r="B18" s="840" t="str">
        <f>B86</f>
        <v>Adverse events - reduced A&amp;E attendances - MART approach</v>
      </c>
      <c r="C18" s="841"/>
      <c r="D18" s="694">
        <f>D91</f>
        <v>0</v>
      </c>
      <c r="E18" s="694">
        <f t="shared" ref="E18:I18" si="13">E91</f>
        <v>-485.15684599004504</v>
      </c>
      <c r="F18" s="694">
        <f t="shared" si="13"/>
        <v>-451.03984032907181</v>
      </c>
      <c r="G18" s="694">
        <f t="shared" si="13"/>
        <v>-419.32199709338681</v>
      </c>
      <c r="H18" s="694">
        <f t="shared" si="13"/>
        <v>-389.8346033425845</v>
      </c>
      <c r="I18" s="694">
        <f t="shared" si="13"/>
        <v>-362.42081030016863</v>
      </c>
      <c r="J18" s="65"/>
      <c r="K18" s="65"/>
      <c r="L18" s="690">
        <f>L91</f>
        <v>0</v>
      </c>
      <c r="M18" s="690">
        <f t="shared" ref="M18:Q18" si="14">M91</f>
        <v>-70.638836776150555</v>
      </c>
      <c r="N18" s="690">
        <f t="shared" si="14"/>
        <v>-65.671400751912856</v>
      </c>
      <c r="O18" s="690">
        <f t="shared" si="14"/>
        <v>-61.053282776797118</v>
      </c>
      <c r="P18" s="690">
        <f t="shared" si="14"/>
        <v>-56.7599182466803</v>
      </c>
      <c r="Q18" s="690">
        <f t="shared" si="14"/>
        <v>-52.768469979704548</v>
      </c>
      <c r="R18" s="65"/>
      <c r="S18" s="65"/>
      <c r="T18" s="65"/>
      <c r="U18" s="65"/>
      <c r="V18" s="65"/>
      <c r="W18" s="65"/>
      <c r="X18" s="65"/>
      <c r="Y18" s="65"/>
      <c r="Z18" s="65"/>
    </row>
    <row r="19" spans="1:40" x14ac:dyDescent="0.25">
      <c r="B19" s="133"/>
      <c r="D19" s="152"/>
      <c r="F19" s="65"/>
      <c r="G19" s="65"/>
      <c r="H19" s="65"/>
      <c r="I19" s="65"/>
      <c r="J19" s="65"/>
      <c r="K19" s="65"/>
      <c r="L19" s="686">
        <f>SUM(L11:L18)</f>
        <v>12923.675932645685</v>
      </c>
      <c r="M19" s="686">
        <f t="shared" ref="M19:Q19" si="15">SUM(M11:M18)</f>
        <v>12777.039036573902</v>
      </c>
      <c r="N19" s="686">
        <f t="shared" si="15"/>
        <v>12618.046210816268</v>
      </c>
      <c r="O19" s="686">
        <f t="shared" si="15"/>
        <v>12815.855738543709</v>
      </c>
      <c r="P19" s="686">
        <f t="shared" si="15"/>
        <v>12654.058606861705</v>
      </c>
      <c r="Q19" s="686">
        <f t="shared" si="15"/>
        <v>12488.127827844473</v>
      </c>
      <c r="R19" s="65"/>
      <c r="S19" s="65"/>
      <c r="T19" s="65"/>
      <c r="U19" s="65"/>
      <c r="V19" s="65"/>
      <c r="W19" s="65"/>
      <c r="X19" s="65"/>
      <c r="Y19" s="65"/>
      <c r="Z19" s="65"/>
    </row>
    <row r="20" spans="1:40" x14ac:dyDescent="0.25">
      <c r="B20" s="167"/>
      <c r="C20" s="167"/>
      <c r="D20" s="167"/>
      <c r="E20" s="167"/>
      <c r="F20" s="167"/>
      <c r="G20" s="167"/>
      <c r="H20" s="167"/>
      <c r="I20" s="167"/>
      <c r="J20" s="167"/>
      <c r="K20" s="167"/>
      <c r="L20" s="167"/>
      <c r="P20" s="65"/>
      <c r="Q20" s="65"/>
      <c r="R20" s="65"/>
      <c r="S20" s="65"/>
      <c r="V20" s="65"/>
      <c r="W20" s="65"/>
      <c r="X20" s="65"/>
      <c r="Y20" s="65"/>
      <c r="Z20" s="65"/>
      <c r="AJ20" s="152"/>
      <c r="AK20" s="152"/>
      <c r="AL20" s="152"/>
      <c r="AM20" s="152"/>
      <c r="AN20" s="152"/>
    </row>
    <row r="21" spans="1:40" x14ac:dyDescent="0.25">
      <c r="B21" s="188" t="s">
        <v>650</v>
      </c>
      <c r="C21" s="189"/>
      <c r="D21" s="189"/>
      <c r="E21" s="190"/>
      <c r="F21" s="189"/>
      <c r="G21" s="191"/>
      <c r="H21" s="192"/>
      <c r="I21" s="192"/>
      <c r="J21" s="192"/>
      <c r="K21" s="192"/>
      <c r="L21" s="192"/>
      <c r="M21" s="192"/>
      <c r="N21" s="192"/>
      <c r="O21" s="192"/>
      <c r="P21" s="192"/>
      <c r="Q21" s="695"/>
      <c r="R21" s="65"/>
      <c r="S21" s="65"/>
      <c r="T21" s="65"/>
      <c r="U21" s="65"/>
      <c r="V21" s="65"/>
      <c r="W21" s="65"/>
      <c r="X21" s="65"/>
      <c r="Y21" s="65"/>
      <c r="Z21" s="65"/>
      <c r="AJ21" s="152"/>
      <c r="AK21" s="152"/>
      <c r="AL21" s="152"/>
      <c r="AM21" s="152"/>
      <c r="AN21" s="152"/>
    </row>
    <row r="22" spans="1:40" x14ac:dyDescent="0.25">
      <c r="A22" s="154"/>
      <c r="B22" s="467" t="s">
        <v>797</v>
      </c>
      <c r="C22" s="198"/>
      <c r="D22" s="198"/>
      <c r="E22" s="198"/>
      <c r="F22" s="198"/>
      <c r="G22" s="198"/>
      <c r="H22" s="198"/>
      <c r="I22" s="696"/>
      <c r="J22" s="116"/>
      <c r="K22" s="116"/>
      <c r="L22" s="116"/>
      <c r="M22" s="116"/>
      <c r="N22" s="116"/>
      <c r="O22" s="116"/>
      <c r="P22" s="116"/>
      <c r="Q22" s="116"/>
      <c r="R22" s="65"/>
      <c r="S22" s="65"/>
      <c r="T22" s="65"/>
      <c r="U22" s="65"/>
      <c r="V22" s="65"/>
      <c r="W22" s="65"/>
      <c r="X22" s="65"/>
      <c r="Y22" s="65"/>
      <c r="Z22" s="65"/>
      <c r="AJ22" s="152"/>
      <c r="AK22" s="152"/>
      <c r="AL22" s="152"/>
      <c r="AM22" s="152"/>
      <c r="AN22" s="152"/>
    </row>
    <row r="23" spans="1:40" ht="45" x14ac:dyDescent="0.25">
      <c r="A23" s="154"/>
      <c r="B23" s="667" t="s">
        <v>505</v>
      </c>
      <c r="C23" s="697" t="s">
        <v>654</v>
      </c>
      <c r="D23" s="674" t="s">
        <v>643</v>
      </c>
      <c r="E23" s="662" t="s">
        <v>434</v>
      </c>
      <c r="F23" s="662" t="s">
        <v>435</v>
      </c>
      <c r="G23" s="612" t="s">
        <v>613</v>
      </c>
      <c r="H23" s="612" t="s">
        <v>614</v>
      </c>
      <c r="I23" s="662" t="s">
        <v>615</v>
      </c>
      <c r="J23" s="116"/>
      <c r="K23" s="698" t="s">
        <v>653</v>
      </c>
      <c r="L23" s="674" t="s">
        <v>643</v>
      </c>
      <c r="M23" s="699" t="s">
        <v>434</v>
      </c>
      <c r="N23" s="699" t="s">
        <v>435</v>
      </c>
      <c r="O23" s="700" t="s">
        <v>613</v>
      </c>
      <c r="P23" s="700" t="s">
        <v>614</v>
      </c>
      <c r="Q23" s="699" t="s">
        <v>615</v>
      </c>
      <c r="R23" s="65"/>
      <c r="S23" s="65"/>
      <c r="T23" s="65"/>
      <c r="U23" s="65"/>
      <c r="V23" s="65"/>
      <c r="W23" s="65"/>
      <c r="X23" s="65"/>
      <c r="Y23" s="65"/>
      <c r="Z23" s="65"/>
      <c r="AJ23" s="152"/>
      <c r="AK23" s="152"/>
      <c r="AL23" s="152"/>
      <c r="AM23" s="152"/>
      <c r="AN23" s="152"/>
    </row>
    <row r="24" spans="1:40" x14ac:dyDescent="0.25">
      <c r="A24" s="154"/>
      <c r="B24" s="178" t="s">
        <v>796</v>
      </c>
      <c r="C24" s="475">
        <f>'Inputs and eligible population'!F65</f>
        <v>1</v>
      </c>
      <c r="D24" s="608">
        <f>'Financial impact (cash)'!D22*'Capacity (local prices)'!$C24</f>
        <v>0</v>
      </c>
      <c r="E24" s="608">
        <f>'Financial impact (cash)'!E22*'Capacity (local prices)'!$C24</f>
        <v>1844.5409275305185</v>
      </c>
      <c r="F24" s="608">
        <f>'Financial impact (cash)'!F22*'Capacity (local prices)'!$C24</f>
        <v>2788.9458824261437</v>
      </c>
      <c r="G24" s="608">
        <f>'Financial impact (cash)'!G22*'Capacity (local prices)'!$C24</f>
        <v>3748.3432659807386</v>
      </c>
      <c r="H24" s="608">
        <f>'Financial impact (cash)'!H22*'Capacity (local prices)'!$C24</f>
        <v>3778.330012108584</v>
      </c>
      <c r="I24" s="608">
        <f>'Financial impact (cash)'!I22*'Capacity (local prices)'!$C24</f>
        <v>3808.5566522054528</v>
      </c>
      <c r="J24" s="116"/>
      <c r="K24" s="752"/>
      <c r="L24" s="753"/>
      <c r="M24" s="753"/>
      <c r="N24" s="753"/>
      <c r="O24" s="753"/>
      <c r="P24" s="753"/>
      <c r="Q24" s="753"/>
      <c r="R24" s="65"/>
      <c r="S24" s="65"/>
      <c r="T24" s="65"/>
      <c r="U24" s="65"/>
      <c r="V24" s="65"/>
      <c r="W24" s="65"/>
      <c r="X24" s="65"/>
      <c r="Y24" s="65"/>
      <c r="Z24" s="65"/>
      <c r="AJ24" s="152"/>
      <c r="AK24" s="152"/>
      <c r="AL24" s="152"/>
      <c r="AM24" s="152"/>
      <c r="AN24" s="152"/>
    </row>
    <row r="25" spans="1:40" x14ac:dyDescent="0.25">
      <c r="A25" s="266"/>
      <c r="B25" s="257"/>
      <c r="C25" s="703"/>
      <c r="D25" s="469">
        <f t="shared" ref="D25:I25" si="16">SUM(D24:D24)</f>
        <v>0</v>
      </c>
      <c r="E25" s="469">
        <f t="shared" si="16"/>
        <v>1844.5409275305185</v>
      </c>
      <c r="F25" s="469">
        <f t="shared" si="16"/>
        <v>2788.9458824261437</v>
      </c>
      <c r="G25" s="469">
        <f t="shared" si="16"/>
        <v>3748.3432659807386</v>
      </c>
      <c r="H25" s="469">
        <f t="shared" si="16"/>
        <v>3778.330012108584</v>
      </c>
      <c r="I25" s="469">
        <f t="shared" si="16"/>
        <v>3808.5566522054528</v>
      </c>
      <c r="J25" s="272"/>
      <c r="K25" s="788"/>
      <c r="L25" s="466">
        <f t="shared" ref="L25:Q25" si="17">SUM(L24:L24)</f>
        <v>0</v>
      </c>
      <c r="M25" s="466">
        <f t="shared" si="17"/>
        <v>0</v>
      </c>
      <c r="N25" s="466">
        <f t="shared" si="17"/>
        <v>0</v>
      </c>
      <c r="O25" s="466">
        <f t="shared" si="17"/>
        <v>0</v>
      </c>
      <c r="P25" s="466">
        <f t="shared" si="17"/>
        <v>0</v>
      </c>
      <c r="Q25" s="466">
        <f t="shared" si="17"/>
        <v>0</v>
      </c>
      <c r="R25" s="65"/>
      <c r="S25" s="65"/>
      <c r="T25" s="65"/>
      <c r="U25" s="65"/>
      <c r="V25" s="65"/>
      <c r="W25" s="65"/>
      <c r="X25" s="65"/>
      <c r="Y25" s="65"/>
      <c r="Z25" s="65"/>
      <c r="AJ25" s="152"/>
      <c r="AK25" s="152"/>
      <c r="AL25" s="152"/>
      <c r="AM25" s="152"/>
      <c r="AN25" s="152"/>
    </row>
    <row r="26" spans="1:40" x14ac:dyDescent="0.25">
      <c r="A26" s="266"/>
      <c r="B26" s="138"/>
      <c r="C26" s="138"/>
      <c r="D26" s="704" t="s">
        <v>655</v>
      </c>
      <c r="E26" s="469">
        <f>E25-$D$25</f>
        <v>1844.5409275305185</v>
      </c>
      <c r="F26" s="469">
        <f>F25-$D$25</f>
        <v>2788.9458824261437</v>
      </c>
      <c r="G26" s="469">
        <f>G25-$D$25</f>
        <v>3748.3432659807386</v>
      </c>
      <c r="H26" s="469">
        <f>H25-$D$25</f>
        <v>3778.330012108584</v>
      </c>
      <c r="I26" s="469">
        <f>I25-$D$25</f>
        <v>3808.5566522054528</v>
      </c>
      <c r="J26" s="272"/>
      <c r="K26" s="788"/>
      <c r="L26" s="788"/>
      <c r="M26" s="466">
        <f>M25-$L25</f>
        <v>0</v>
      </c>
      <c r="N26" s="466">
        <f>N25-$L25</f>
        <v>0</v>
      </c>
      <c r="O26" s="466">
        <f>O25-$L25</f>
        <v>0</v>
      </c>
      <c r="P26" s="466">
        <f>P25-$L25</f>
        <v>0</v>
      </c>
      <c r="Q26" s="466">
        <f>Q25-$L25</f>
        <v>0</v>
      </c>
      <c r="R26" s="65"/>
      <c r="S26" s="65"/>
      <c r="T26" s="65"/>
      <c r="U26" s="65"/>
      <c r="V26" s="65"/>
      <c r="W26" s="65"/>
      <c r="X26" s="65"/>
      <c r="Y26" s="65"/>
      <c r="Z26" s="65"/>
      <c r="AJ26" s="152"/>
      <c r="AK26" s="152"/>
      <c r="AL26" s="152"/>
      <c r="AM26" s="152"/>
      <c r="AN26" s="152"/>
    </row>
    <row r="27" spans="1:40" x14ac:dyDescent="0.25">
      <c r="A27" s="154"/>
      <c r="B27" s="267"/>
      <c r="C27" s="268"/>
      <c r="D27" s="269"/>
      <c r="E27" s="270"/>
      <c r="F27" s="154"/>
      <c r="G27" s="154"/>
      <c r="H27" s="154"/>
      <c r="I27" s="154"/>
      <c r="J27" s="116"/>
      <c r="K27" s="116"/>
      <c r="L27" s="116"/>
      <c r="M27" s="116"/>
      <c r="N27" s="116"/>
      <c r="O27" s="116"/>
      <c r="P27" s="116"/>
      <c r="Q27" s="116"/>
      <c r="R27" s="65"/>
      <c r="S27" s="65"/>
      <c r="T27" s="65"/>
      <c r="U27" s="65"/>
      <c r="V27" s="65"/>
      <c r="W27" s="65"/>
      <c r="X27" s="65"/>
      <c r="Y27" s="65"/>
      <c r="Z27" s="65"/>
      <c r="AJ27" s="152"/>
      <c r="AK27" s="152"/>
      <c r="AL27" s="152"/>
      <c r="AM27" s="152"/>
      <c r="AN27" s="152"/>
    </row>
    <row r="28" spans="1:40" x14ac:dyDescent="0.25">
      <c r="A28" s="266"/>
      <c r="B28" s="271" t="s">
        <v>651</v>
      </c>
      <c r="C28" s="198"/>
      <c r="D28" s="198"/>
      <c r="E28" s="198"/>
      <c r="F28" s="198"/>
      <c r="G28" s="198"/>
      <c r="H28" s="198"/>
      <c r="I28" s="696"/>
      <c r="J28" s="116"/>
      <c r="K28" s="116"/>
      <c r="L28" s="116"/>
      <c r="M28" s="116"/>
      <c r="N28" s="116"/>
      <c r="O28" s="116"/>
      <c r="P28" s="116"/>
      <c r="Q28" s="116"/>
      <c r="R28" s="65"/>
      <c r="S28" s="65"/>
      <c r="T28" s="65"/>
      <c r="U28" s="65"/>
      <c r="V28" s="65"/>
      <c r="W28" s="65"/>
      <c r="X28" s="65"/>
      <c r="Y28" s="65"/>
      <c r="Z28" s="65"/>
      <c r="AJ28" s="152"/>
      <c r="AK28" s="152"/>
      <c r="AL28" s="152"/>
      <c r="AM28" s="152"/>
      <c r="AN28" s="152"/>
    </row>
    <row r="29" spans="1:40" ht="45" x14ac:dyDescent="0.25">
      <c r="A29" s="266"/>
      <c r="B29" s="166" t="s">
        <v>505</v>
      </c>
      <c r="C29" s="697" t="s">
        <v>652</v>
      </c>
      <c r="D29" s="674" t="s">
        <v>643</v>
      </c>
      <c r="E29" s="662" t="s">
        <v>434</v>
      </c>
      <c r="F29" s="662" t="s">
        <v>435</v>
      </c>
      <c r="G29" s="612" t="s">
        <v>613</v>
      </c>
      <c r="H29" s="612" t="s">
        <v>614</v>
      </c>
      <c r="I29" s="662" t="s">
        <v>615</v>
      </c>
      <c r="J29" s="272"/>
      <c r="K29" s="698" t="s">
        <v>653</v>
      </c>
      <c r="L29" s="674" t="s">
        <v>643</v>
      </c>
      <c r="M29" s="699" t="s">
        <v>434</v>
      </c>
      <c r="N29" s="699" t="s">
        <v>435</v>
      </c>
      <c r="O29" s="700" t="s">
        <v>613</v>
      </c>
      <c r="P29" s="700" t="s">
        <v>614</v>
      </c>
      <c r="Q29" s="699" t="s">
        <v>615</v>
      </c>
      <c r="R29" s="65"/>
      <c r="S29" s="65"/>
      <c r="T29" s="65"/>
      <c r="U29" s="65"/>
      <c r="V29" s="65"/>
      <c r="W29" s="65"/>
      <c r="X29" s="65"/>
      <c r="Y29" s="65"/>
      <c r="Z29" s="65"/>
      <c r="AJ29" s="152"/>
      <c r="AK29" s="152"/>
      <c r="AL29" s="152"/>
      <c r="AM29" s="152"/>
      <c r="AN29" s="152"/>
    </row>
    <row r="30" spans="1:40" ht="26.45" customHeight="1" x14ac:dyDescent="0.25">
      <c r="A30" s="266"/>
      <c r="B30" s="178" t="s">
        <v>796</v>
      </c>
      <c r="C30" s="475">
        <f>'Inputs and eligible population'!H65</f>
        <v>90</v>
      </c>
      <c r="D30" s="608">
        <f>'Financial impact (cash)'!D22*$C$30/60</f>
        <v>0</v>
      </c>
      <c r="E30" s="608">
        <f>('Financial impact (cash)'!E22)*$C$30/60</f>
        <v>2766.8113912957779</v>
      </c>
      <c r="F30" s="608">
        <f>('Financial impact (cash)'!F22)*$C$30/60</f>
        <v>4183.4188236392156</v>
      </c>
      <c r="G30" s="608">
        <f>'Financial impact (cash)'!G22*$C$30/60</f>
        <v>5622.5148989711079</v>
      </c>
      <c r="H30" s="608">
        <f>'Financial impact (cash)'!H22*$C$30/60</f>
        <v>5667.4950181628765</v>
      </c>
      <c r="I30" s="608">
        <f>'Financial impact (cash)'!I22*$C$30/60</f>
        <v>5712.8349783081794</v>
      </c>
      <c r="J30" s="272"/>
      <c r="K30" s="701">
        <f>'Inputs and eligible population'!K65</f>
        <v>126.44</v>
      </c>
      <c r="L30" s="702">
        <f>$K30/1000*D30</f>
        <v>0</v>
      </c>
      <c r="M30" s="702">
        <f t="shared" ref="M30:Q30" si="18">$K30/1000*E30</f>
        <v>349.83563231543815</v>
      </c>
      <c r="N30" s="702">
        <f t="shared" si="18"/>
        <v>528.95147606094235</v>
      </c>
      <c r="O30" s="702">
        <f t="shared" si="18"/>
        <v>710.91078382590683</v>
      </c>
      <c r="P30" s="702">
        <f t="shared" si="18"/>
        <v>716.59807009651411</v>
      </c>
      <c r="Q30" s="702">
        <f t="shared" si="18"/>
        <v>722.33085465728618</v>
      </c>
      <c r="R30" s="65"/>
      <c r="S30" s="65"/>
      <c r="T30" s="65"/>
      <c r="U30" s="65"/>
      <c r="V30" s="65"/>
      <c r="W30" s="65"/>
      <c r="X30" s="65"/>
      <c r="Y30" s="65"/>
      <c r="Z30" s="65"/>
      <c r="AJ30" s="152"/>
      <c r="AK30" s="152"/>
      <c r="AL30" s="152"/>
      <c r="AM30" s="152"/>
      <c r="AN30" s="152"/>
    </row>
    <row r="31" spans="1:40" x14ac:dyDescent="0.25">
      <c r="A31" s="266"/>
      <c r="B31" s="257"/>
      <c r="C31" s="703"/>
      <c r="D31" s="469">
        <f t="shared" ref="D31:I31" si="19">SUM(D30:D30)</f>
        <v>0</v>
      </c>
      <c r="E31" s="469">
        <f t="shared" si="19"/>
        <v>2766.8113912957779</v>
      </c>
      <c r="F31" s="469">
        <f t="shared" si="19"/>
        <v>4183.4188236392156</v>
      </c>
      <c r="G31" s="469">
        <f t="shared" si="19"/>
        <v>5622.5148989711079</v>
      </c>
      <c r="H31" s="469">
        <f t="shared" si="19"/>
        <v>5667.4950181628765</v>
      </c>
      <c r="I31" s="469">
        <f t="shared" si="19"/>
        <v>5712.8349783081794</v>
      </c>
      <c r="J31" s="272"/>
      <c r="K31" s="116"/>
      <c r="L31" s="686">
        <f t="shared" ref="L31:Q31" si="20">SUM(L30:L30)</f>
        <v>0</v>
      </c>
      <c r="M31" s="686">
        <f t="shared" si="20"/>
        <v>349.83563231543815</v>
      </c>
      <c r="N31" s="686">
        <f>SUM(M30:M30)</f>
        <v>349.83563231543815</v>
      </c>
      <c r="O31" s="686">
        <f t="shared" si="20"/>
        <v>710.91078382590683</v>
      </c>
      <c r="P31" s="686">
        <f t="shared" si="20"/>
        <v>716.59807009651411</v>
      </c>
      <c r="Q31" s="686">
        <f t="shared" si="20"/>
        <v>722.33085465728618</v>
      </c>
      <c r="R31" s="65"/>
      <c r="S31" s="65"/>
      <c r="T31" s="65"/>
      <c r="U31" s="65"/>
      <c r="V31" s="65"/>
      <c r="W31" s="65"/>
      <c r="X31" s="65"/>
      <c r="Y31" s="65"/>
      <c r="Z31" s="65"/>
      <c r="AJ31" s="152"/>
      <c r="AK31" s="152"/>
      <c r="AL31" s="152"/>
      <c r="AM31" s="152"/>
      <c r="AN31" s="152"/>
    </row>
    <row r="32" spans="1:40" x14ac:dyDescent="0.25">
      <c r="A32" s="266"/>
      <c r="B32" s="138"/>
      <c r="C32" s="138"/>
      <c r="D32" s="704" t="s">
        <v>849</v>
      </c>
      <c r="E32" s="469">
        <f>E31-$D$31</f>
        <v>2766.8113912957779</v>
      </c>
      <c r="F32" s="469">
        <f>F31-$D$31</f>
        <v>4183.4188236392156</v>
      </c>
      <c r="G32" s="469">
        <f>G31-$D$31</f>
        <v>5622.5148989711079</v>
      </c>
      <c r="H32" s="469">
        <f>H31-$D$31</f>
        <v>5667.4950181628765</v>
      </c>
      <c r="I32" s="469">
        <f>I31-$D$31</f>
        <v>5712.8349783081794</v>
      </c>
      <c r="J32" s="272"/>
      <c r="K32" s="116"/>
      <c r="L32" s="116"/>
      <c r="M32" s="686">
        <f>N31-$L31</f>
        <v>349.83563231543815</v>
      </c>
      <c r="N32" s="686">
        <f>N31-$L31</f>
        <v>349.83563231543815</v>
      </c>
      <c r="O32" s="686">
        <f t="shared" ref="O32:Q32" si="21">O31-$L31</f>
        <v>710.91078382590683</v>
      </c>
      <c r="P32" s="686">
        <f t="shared" si="21"/>
        <v>716.59807009651411</v>
      </c>
      <c r="Q32" s="686">
        <f t="shared" si="21"/>
        <v>722.33085465728618</v>
      </c>
      <c r="R32" s="65"/>
      <c r="S32" s="65"/>
      <c r="T32" s="65"/>
      <c r="U32" s="65"/>
      <c r="V32" s="65"/>
      <c r="W32" s="65"/>
      <c r="X32" s="65"/>
      <c r="Y32" s="65"/>
      <c r="Z32" s="65"/>
      <c r="AJ32" s="152"/>
      <c r="AK32" s="152"/>
      <c r="AL32" s="152"/>
      <c r="AM32" s="152"/>
      <c r="AN32" s="152"/>
    </row>
    <row r="33" spans="1:40" x14ac:dyDescent="0.25">
      <c r="A33" s="154"/>
      <c r="B33" s="267"/>
      <c r="C33" s="268"/>
      <c r="D33" s="269"/>
      <c r="E33" s="270"/>
      <c r="F33" s="154"/>
      <c r="G33" s="154"/>
      <c r="H33" s="154"/>
      <c r="I33" s="154"/>
      <c r="J33" s="154"/>
      <c r="K33" s="154"/>
      <c r="L33" s="154"/>
      <c r="M33" s="154"/>
      <c r="N33" s="154"/>
      <c r="O33" s="154"/>
      <c r="P33" s="154"/>
      <c r="Q33" s="154"/>
      <c r="Y33" s="65"/>
      <c r="Z33" s="65"/>
      <c r="AJ33" s="152"/>
      <c r="AK33" s="152"/>
      <c r="AL33" s="152"/>
      <c r="AM33" s="152"/>
      <c r="AN33" s="152"/>
    </row>
    <row r="34" spans="1:40" x14ac:dyDescent="0.25">
      <c r="A34" s="153"/>
      <c r="B34" s="168" t="s">
        <v>850</v>
      </c>
      <c r="C34" s="157"/>
      <c r="D34" s="157"/>
      <c r="E34" s="158"/>
      <c r="F34" s="159"/>
      <c r="G34" s="160"/>
      <c r="H34" s="160"/>
      <c r="I34" s="160"/>
      <c r="J34" s="206"/>
      <c r="K34" s="153"/>
      <c r="L34" s="153"/>
      <c r="M34" s="153"/>
      <c r="N34" s="153"/>
      <c r="O34" s="153"/>
      <c r="P34" s="153"/>
      <c r="Q34" s="115"/>
      <c r="V34" s="65"/>
    </row>
    <row r="35" spans="1:40" x14ac:dyDescent="0.25">
      <c r="A35" s="153"/>
      <c r="B35" s="705" t="s">
        <v>748</v>
      </c>
      <c r="C35" s="197"/>
      <c r="D35" s="197"/>
      <c r="E35" s="197"/>
      <c r="F35" s="197"/>
      <c r="G35" s="197"/>
      <c r="H35" s="197"/>
      <c r="I35" s="414"/>
      <c r="J35" s="205"/>
      <c r="K35" s="115"/>
      <c r="L35" s="204"/>
      <c r="M35" s="204"/>
      <c r="N35" s="204"/>
      <c r="O35" s="204"/>
      <c r="P35" s="204"/>
      <c r="Q35" s="204"/>
      <c r="V35" s="65"/>
    </row>
    <row r="36" spans="1:40" ht="74.849999999999994" customHeight="1" x14ac:dyDescent="0.25">
      <c r="A36" s="153"/>
      <c r="B36" s="667" t="s">
        <v>505</v>
      </c>
      <c r="C36" s="697"/>
      <c r="D36" s="674" t="s">
        <v>643</v>
      </c>
      <c r="E36" s="662" t="s">
        <v>434</v>
      </c>
      <c r="F36" s="662" t="s">
        <v>435</v>
      </c>
      <c r="G36" s="612" t="s">
        <v>613</v>
      </c>
      <c r="H36" s="612" t="s">
        <v>614</v>
      </c>
      <c r="I36" s="662" t="s">
        <v>615</v>
      </c>
      <c r="J36" s="153"/>
      <c r="K36" s="698" t="s">
        <v>653</v>
      </c>
      <c r="L36" s="674" t="s">
        <v>643</v>
      </c>
      <c r="M36" s="699" t="s">
        <v>434</v>
      </c>
      <c r="N36" s="699" t="s">
        <v>435</v>
      </c>
      <c r="O36" s="700" t="s">
        <v>613</v>
      </c>
      <c r="P36" s="700" t="s">
        <v>614</v>
      </c>
      <c r="Q36" s="699" t="s">
        <v>615</v>
      </c>
      <c r="V36" s="65"/>
    </row>
    <row r="37" spans="1:40" x14ac:dyDescent="0.25">
      <c r="A37" s="153"/>
      <c r="B37" s="178" t="s">
        <v>534</v>
      </c>
      <c r="C37" s="475"/>
      <c r="D37" s="608">
        <f>Summary!C16</f>
        <v>29475.317483531369</v>
      </c>
      <c r="E37" s="608">
        <f>Summary!D16</f>
        <v>31691.861358292932</v>
      </c>
      <c r="F37" s="608">
        <f>Summary!E16</f>
        <v>33941.983514731735</v>
      </c>
      <c r="G37" s="608">
        <f>Summary!F16</f>
        <v>36226.079346546619</v>
      </c>
      <c r="H37" s="608">
        <f>Summary!G16</f>
        <v>38544.548424725603</v>
      </c>
      <c r="I37" s="608">
        <f>Summary!H16</f>
        <v>40897.79453907728</v>
      </c>
      <c r="J37" s="153"/>
      <c r="K37" s="743"/>
      <c r="L37" s="744"/>
      <c r="M37" s="744"/>
      <c r="N37" s="744"/>
      <c r="O37" s="744"/>
      <c r="P37" s="744"/>
      <c r="Q37" s="744"/>
      <c r="S37" s="65"/>
      <c r="T37" s="65"/>
      <c r="U37" s="65"/>
      <c r="V37" s="65"/>
      <c r="W37" s="65"/>
      <c r="X37" s="65"/>
      <c r="Y37" s="65"/>
      <c r="Z37" s="65"/>
      <c r="AJ37" s="152"/>
      <c r="AK37" s="152"/>
      <c r="AL37" s="152"/>
      <c r="AM37" s="152"/>
      <c r="AN37" s="152"/>
    </row>
    <row r="38" spans="1:40" x14ac:dyDescent="0.25">
      <c r="A38" s="153"/>
      <c r="B38" s="178" t="s">
        <v>484</v>
      </c>
      <c r="C38" s="475"/>
      <c r="D38" s="608">
        <f>Summary!C17</f>
        <v>181764.45781511013</v>
      </c>
      <c r="E38" s="608">
        <f>Summary!D17</f>
        <v>182228.20281018436</v>
      </c>
      <c r="F38" s="608">
        <f>Summary!E17</f>
        <v>182687.7347998796</v>
      </c>
      <c r="G38" s="608">
        <f>Summary!F17</f>
        <v>183142.95669643013</v>
      </c>
      <c r="H38" s="608">
        <f>Summary!G17</f>
        <v>183593.77012829829</v>
      </c>
      <c r="I38" s="608">
        <f>Summary!H17</f>
        <v>184040.07542584772</v>
      </c>
      <c r="J38" s="153"/>
      <c r="K38" s="743"/>
      <c r="L38" s="744"/>
      <c r="M38" s="744"/>
      <c r="N38" s="744"/>
      <c r="O38" s="744"/>
      <c r="P38" s="744"/>
      <c r="Q38" s="744"/>
      <c r="S38" s="65"/>
      <c r="T38" s="65"/>
      <c r="U38" s="65"/>
      <c r="V38" s="65"/>
      <c r="W38" s="65"/>
      <c r="X38" s="65"/>
      <c r="Y38" s="65"/>
      <c r="Z38" s="65"/>
      <c r="AJ38" s="152"/>
      <c r="AK38" s="152"/>
      <c r="AL38" s="152"/>
      <c r="AM38" s="152"/>
      <c r="AN38" s="152"/>
    </row>
    <row r="39" spans="1:40" x14ac:dyDescent="0.25">
      <c r="A39" s="153"/>
      <c r="B39" s="178" t="s">
        <v>831</v>
      </c>
      <c r="C39" s="475"/>
      <c r="D39" s="608">
        <f>Summary!C18</f>
        <v>181764.45781511013</v>
      </c>
      <c r="E39" s="608">
        <f>Summary!D18</f>
        <v>182228.20281018436</v>
      </c>
      <c r="F39" s="608">
        <f>Summary!E18</f>
        <v>182687.7347998796</v>
      </c>
      <c r="G39" s="608">
        <f>Summary!F18</f>
        <v>183142.95669643013</v>
      </c>
      <c r="H39" s="608">
        <f>Summary!G18</f>
        <v>183593.77012829829</v>
      </c>
      <c r="I39" s="608">
        <f>Summary!H18</f>
        <v>184040.07542584772</v>
      </c>
      <c r="J39" s="153"/>
      <c r="K39" s="743"/>
      <c r="L39" s="744"/>
      <c r="M39" s="744"/>
      <c r="N39" s="744"/>
      <c r="O39" s="744"/>
      <c r="P39" s="744"/>
      <c r="Q39" s="744"/>
      <c r="S39" s="65"/>
      <c r="T39" s="65"/>
      <c r="U39" s="65"/>
      <c r="V39" s="65"/>
      <c r="W39" s="65"/>
      <c r="X39" s="65"/>
      <c r="Y39" s="65"/>
      <c r="Z39" s="65"/>
      <c r="AJ39" s="152"/>
      <c r="AK39" s="152"/>
      <c r="AL39" s="152"/>
      <c r="AM39" s="152"/>
      <c r="AN39" s="152"/>
    </row>
    <row r="40" spans="1:40" x14ac:dyDescent="0.25">
      <c r="A40" s="153"/>
      <c r="B40" s="703" t="s">
        <v>656</v>
      </c>
      <c r="C40" s="707"/>
      <c r="D40" s="469">
        <f t="shared" ref="D40:I40" si="22">SUM(D37:D39)</f>
        <v>393004.23311375163</v>
      </c>
      <c r="E40" s="469">
        <f t="shared" si="22"/>
        <v>396148.26697866165</v>
      </c>
      <c r="F40" s="469">
        <f t="shared" si="22"/>
        <v>399317.45311449096</v>
      </c>
      <c r="G40" s="469">
        <f t="shared" si="22"/>
        <v>402511.99273940688</v>
      </c>
      <c r="H40" s="469">
        <f t="shared" si="22"/>
        <v>405732.08868132217</v>
      </c>
      <c r="I40" s="469">
        <f t="shared" si="22"/>
        <v>408977.94539077271</v>
      </c>
      <c r="J40" s="153"/>
      <c r="K40" s="153"/>
      <c r="L40" s="466"/>
      <c r="M40" s="466"/>
      <c r="N40" s="466"/>
      <c r="O40" s="466"/>
      <c r="P40" s="466"/>
      <c r="Q40" s="466"/>
      <c r="S40" s="65"/>
      <c r="T40" s="65"/>
      <c r="U40" s="65"/>
      <c r="V40" s="65"/>
      <c r="W40" s="65"/>
      <c r="X40" s="65"/>
      <c r="Y40" s="65"/>
      <c r="Z40" s="65"/>
      <c r="AJ40" s="152"/>
      <c r="AK40" s="152"/>
      <c r="AL40" s="152"/>
      <c r="AM40" s="152"/>
      <c r="AN40" s="152"/>
    </row>
    <row r="41" spans="1:40" x14ac:dyDescent="0.25">
      <c r="A41" s="153"/>
      <c r="B41" s="161"/>
      <c r="C41" s="138"/>
      <c r="D41" s="704" t="s">
        <v>657</v>
      </c>
      <c r="E41" s="469">
        <f>E40-$D$40</f>
        <v>3144.0338649100158</v>
      </c>
      <c r="F41" s="469">
        <f>F40-$D$40</f>
        <v>6313.2200007393258</v>
      </c>
      <c r="G41" s="469">
        <f>G40-$D$40</f>
        <v>9507.7596256552497</v>
      </c>
      <c r="H41" s="469">
        <f>H40-$D$40</f>
        <v>12727.855567570543</v>
      </c>
      <c r="I41" s="469">
        <f>I40-$D$40</f>
        <v>15973.712277021084</v>
      </c>
      <c r="J41" s="153"/>
      <c r="K41" s="153"/>
      <c r="L41" s="708"/>
      <c r="M41" s="466"/>
      <c r="N41" s="466"/>
      <c r="O41" s="466"/>
      <c r="P41" s="466"/>
      <c r="Q41" s="466"/>
      <c r="S41" s="65"/>
      <c r="T41" s="65"/>
      <c r="U41" s="65"/>
      <c r="V41" s="65"/>
      <c r="W41" s="65"/>
      <c r="X41" s="65"/>
      <c r="Y41" s="65"/>
      <c r="Z41" s="65"/>
      <c r="AJ41" s="152"/>
      <c r="AK41" s="152"/>
      <c r="AL41" s="152"/>
      <c r="AM41" s="152"/>
      <c r="AN41" s="152"/>
    </row>
    <row r="42" spans="1:40" x14ac:dyDescent="0.25">
      <c r="A42" s="153"/>
      <c r="B42" s="169"/>
      <c r="C42" s="115"/>
      <c r="D42" s="115"/>
      <c r="E42" s="115"/>
      <c r="F42" s="115"/>
      <c r="G42" s="115"/>
      <c r="H42" s="115"/>
      <c r="I42" s="115"/>
      <c r="J42" s="115"/>
      <c r="K42" s="115"/>
      <c r="L42" s="115"/>
      <c r="M42" s="115"/>
      <c r="N42" s="115"/>
      <c r="O42" s="115"/>
      <c r="P42" s="115"/>
      <c r="Q42" s="115"/>
      <c r="S42" s="65"/>
      <c r="T42" s="65"/>
      <c r="U42" s="65"/>
      <c r="V42" s="65"/>
      <c r="W42" s="65"/>
      <c r="X42" s="65"/>
      <c r="Y42" s="65"/>
      <c r="Z42" s="65"/>
      <c r="AJ42" s="152"/>
      <c r="AK42" s="152"/>
      <c r="AL42" s="152"/>
      <c r="AM42" s="152"/>
      <c r="AN42" s="152"/>
    </row>
    <row r="43" spans="1:40" x14ac:dyDescent="0.25">
      <c r="A43" s="153"/>
      <c r="B43" s="168" t="s">
        <v>850</v>
      </c>
      <c r="C43" s="157"/>
      <c r="D43" s="157"/>
      <c r="E43" s="158"/>
      <c r="F43" s="159"/>
      <c r="G43" s="160"/>
      <c r="H43" s="160"/>
      <c r="I43" s="160"/>
      <c r="J43" s="206"/>
      <c r="K43" s="153"/>
      <c r="L43" s="153"/>
      <c r="M43" s="153"/>
      <c r="N43" s="153"/>
      <c r="O43" s="153"/>
      <c r="P43" s="153"/>
      <c r="Q43" s="115"/>
      <c r="V43" s="65"/>
    </row>
    <row r="44" spans="1:40" x14ac:dyDescent="0.25">
      <c r="A44" s="153"/>
      <c r="B44" s="705" t="s">
        <v>744</v>
      </c>
      <c r="C44" s="197"/>
      <c r="D44" s="197"/>
      <c r="E44" s="197"/>
      <c r="F44" s="197"/>
      <c r="G44" s="197"/>
      <c r="H44" s="197"/>
      <c r="I44" s="414"/>
      <c r="J44" s="205"/>
      <c r="K44" s="115"/>
      <c r="L44" s="204"/>
      <c r="M44" s="204"/>
      <c r="N44" s="204"/>
      <c r="O44" s="204"/>
      <c r="P44" s="204"/>
      <c r="Q44" s="204"/>
      <c r="V44" s="65"/>
    </row>
    <row r="45" spans="1:40" ht="74.849999999999994" customHeight="1" x14ac:dyDescent="0.25">
      <c r="A45" s="153"/>
      <c r="B45" s="667" t="s">
        <v>505</v>
      </c>
      <c r="C45" s="697" t="s">
        <v>747</v>
      </c>
      <c r="D45" s="674" t="s">
        <v>643</v>
      </c>
      <c r="E45" s="662" t="s">
        <v>434</v>
      </c>
      <c r="F45" s="662" t="s">
        <v>435</v>
      </c>
      <c r="G45" s="612" t="s">
        <v>613</v>
      </c>
      <c r="H45" s="612" t="s">
        <v>614</v>
      </c>
      <c r="I45" s="662" t="s">
        <v>615</v>
      </c>
      <c r="J45" s="153"/>
      <c r="K45" s="698" t="s">
        <v>653</v>
      </c>
      <c r="L45" s="674" t="s">
        <v>643</v>
      </c>
      <c r="M45" s="699" t="s">
        <v>434</v>
      </c>
      <c r="N45" s="699" t="s">
        <v>435</v>
      </c>
      <c r="O45" s="700" t="s">
        <v>613</v>
      </c>
      <c r="P45" s="700" t="s">
        <v>614</v>
      </c>
      <c r="Q45" s="699" t="s">
        <v>615</v>
      </c>
      <c r="V45" s="65"/>
    </row>
    <row r="46" spans="1:40" x14ac:dyDescent="0.25">
      <c r="A46" s="153"/>
      <c r="B46" s="178" t="s">
        <v>534</v>
      </c>
      <c r="C46" s="475">
        <f>'Inputs and eligible population'!H66</f>
        <v>15</v>
      </c>
      <c r="D46" s="608">
        <f>D37*$C46/60</f>
        <v>7368.8293708828423</v>
      </c>
      <c r="E46" s="608">
        <f t="shared" ref="E46:I46" si="23">E37*$C46/60</f>
        <v>7922.965339573233</v>
      </c>
      <c r="F46" s="608">
        <f t="shared" si="23"/>
        <v>8485.4958786829338</v>
      </c>
      <c r="G46" s="608">
        <f t="shared" si="23"/>
        <v>9056.5198366366549</v>
      </c>
      <c r="H46" s="608">
        <f t="shared" si="23"/>
        <v>9636.1371061814007</v>
      </c>
      <c r="I46" s="608">
        <f t="shared" si="23"/>
        <v>10224.44863476932</v>
      </c>
      <c r="J46" s="153"/>
      <c r="K46" s="706">
        <f>'Inputs and eligible population'!K66</f>
        <v>52.41</v>
      </c>
      <c r="L46" s="690">
        <f>D46*$K46/1000</f>
        <v>386.20034732796972</v>
      </c>
      <c r="M46" s="690">
        <f t="shared" ref="M46:Q48" si="24">E46*$K46/1000</f>
        <v>415.24261344703308</v>
      </c>
      <c r="N46" s="690">
        <f t="shared" si="24"/>
        <v>444.72483900177252</v>
      </c>
      <c r="O46" s="690">
        <f t="shared" si="24"/>
        <v>474.65220463812705</v>
      </c>
      <c r="P46" s="690">
        <f t="shared" si="24"/>
        <v>505.02994573496721</v>
      </c>
      <c r="Q46" s="690">
        <f t="shared" si="24"/>
        <v>535.86335294826006</v>
      </c>
      <c r="S46" s="65"/>
      <c r="T46" s="65"/>
      <c r="U46" s="65"/>
      <c r="V46" s="65"/>
      <c r="W46" s="65"/>
      <c r="X46" s="65"/>
      <c r="Y46" s="65"/>
      <c r="Z46" s="65"/>
      <c r="AJ46" s="152"/>
      <c r="AK46" s="152"/>
      <c r="AL46" s="152"/>
      <c r="AM46" s="152"/>
      <c r="AN46" s="152"/>
    </row>
    <row r="47" spans="1:40" x14ac:dyDescent="0.25">
      <c r="A47" s="153"/>
      <c r="B47" s="178" t="s">
        <v>484</v>
      </c>
      <c r="C47" s="475">
        <f>'Inputs and eligible population'!H67</f>
        <v>20</v>
      </c>
      <c r="D47" s="608">
        <f>D38*$C47/60</f>
        <v>60588.15260503671</v>
      </c>
      <c r="E47" s="608">
        <f t="shared" ref="E47:I47" si="25">E38*$C47/60</f>
        <v>60742.734270061454</v>
      </c>
      <c r="F47" s="608">
        <f t="shared" si="25"/>
        <v>60895.911599959865</v>
      </c>
      <c r="G47" s="608">
        <f t="shared" si="25"/>
        <v>61047.652232143373</v>
      </c>
      <c r="H47" s="608">
        <f t="shared" si="25"/>
        <v>61197.923376099432</v>
      </c>
      <c r="I47" s="608">
        <f t="shared" si="25"/>
        <v>61346.691808615906</v>
      </c>
      <c r="J47" s="153"/>
      <c r="K47" s="706">
        <f>'Inputs and eligible population'!K67</f>
        <v>52.41</v>
      </c>
      <c r="L47" s="690">
        <f t="shared" ref="L47:L48" si="26">D47*$K47/1000</f>
        <v>3175.425078029974</v>
      </c>
      <c r="M47" s="690">
        <f t="shared" si="24"/>
        <v>3183.5267030939203</v>
      </c>
      <c r="N47" s="690">
        <f t="shared" si="24"/>
        <v>3191.5547269538961</v>
      </c>
      <c r="O47" s="690">
        <f t="shared" si="24"/>
        <v>3199.5074534866339</v>
      </c>
      <c r="P47" s="690">
        <f t="shared" si="24"/>
        <v>3207.3831641413708</v>
      </c>
      <c r="Q47" s="690">
        <f t="shared" si="24"/>
        <v>3215.1801176895592</v>
      </c>
      <c r="S47" s="65"/>
      <c r="T47" s="65"/>
      <c r="U47" s="65"/>
      <c r="V47" s="65"/>
      <c r="W47" s="65"/>
      <c r="X47" s="65"/>
      <c r="Y47" s="65"/>
      <c r="Z47" s="65"/>
      <c r="AJ47" s="152"/>
      <c r="AK47" s="152"/>
      <c r="AL47" s="152"/>
      <c r="AM47" s="152"/>
      <c r="AN47" s="152"/>
    </row>
    <row r="48" spans="1:40" x14ac:dyDescent="0.25">
      <c r="A48" s="153"/>
      <c r="B48" s="178" t="s">
        <v>831</v>
      </c>
      <c r="C48" s="475">
        <f>'Inputs and eligible population'!H68</f>
        <v>30</v>
      </c>
      <c r="D48" s="608">
        <f>D39*$C48/60</f>
        <v>90882.228907555065</v>
      </c>
      <c r="E48" s="608">
        <f t="shared" ref="E48:I48" si="27">E39*$C48/60</f>
        <v>91114.10140509218</v>
      </c>
      <c r="F48" s="608">
        <f t="shared" si="27"/>
        <v>91343.867399939802</v>
      </c>
      <c r="G48" s="608">
        <f t="shared" si="27"/>
        <v>91571.478348215067</v>
      </c>
      <c r="H48" s="608">
        <f t="shared" si="27"/>
        <v>91796.885064149144</v>
      </c>
      <c r="I48" s="608">
        <f t="shared" si="27"/>
        <v>92020.037712923862</v>
      </c>
      <c r="J48" s="153"/>
      <c r="K48" s="706">
        <f>'Inputs and eligible population'!K68</f>
        <v>52.41</v>
      </c>
      <c r="L48" s="690">
        <f t="shared" si="26"/>
        <v>4763.1376170449612</v>
      </c>
      <c r="M48" s="690">
        <f t="shared" si="24"/>
        <v>4775.290054640881</v>
      </c>
      <c r="N48" s="690">
        <f t="shared" si="24"/>
        <v>4787.3320904308448</v>
      </c>
      <c r="O48" s="690">
        <f t="shared" si="24"/>
        <v>4799.2611802299516</v>
      </c>
      <c r="P48" s="690">
        <f t="shared" si="24"/>
        <v>4811.0747462120562</v>
      </c>
      <c r="Q48" s="690">
        <f t="shared" si="24"/>
        <v>4822.770176534339</v>
      </c>
      <c r="S48" s="65"/>
      <c r="T48" s="65"/>
      <c r="U48" s="65"/>
      <c r="V48" s="65"/>
      <c r="W48" s="65"/>
      <c r="X48" s="65"/>
      <c r="Y48" s="65"/>
      <c r="Z48" s="65"/>
      <c r="AJ48" s="152"/>
      <c r="AK48" s="152"/>
      <c r="AL48" s="152"/>
      <c r="AM48" s="152"/>
      <c r="AN48" s="152"/>
    </row>
    <row r="49" spans="1:40" x14ac:dyDescent="0.25">
      <c r="A49" s="153"/>
      <c r="B49" s="703" t="s">
        <v>656</v>
      </c>
      <c r="C49" s="707"/>
      <c r="D49" s="469">
        <f t="shared" ref="D49:I49" si="28">SUM(D46:D48)</f>
        <v>158839.21088347462</v>
      </c>
      <c r="E49" s="469">
        <f t="shared" si="28"/>
        <v>159779.80101472687</v>
      </c>
      <c r="F49" s="469">
        <f t="shared" si="28"/>
        <v>160725.2748785826</v>
      </c>
      <c r="G49" s="469">
        <f t="shared" si="28"/>
        <v>161675.65041699511</v>
      </c>
      <c r="H49" s="469">
        <f t="shared" si="28"/>
        <v>162630.94554642998</v>
      </c>
      <c r="I49" s="469">
        <f t="shared" si="28"/>
        <v>163591.17815630909</v>
      </c>
      <c r="J49" s="153"/>
      <c r="K49" s="153"/>
      <c r="L49" s="686">
        <f t="shared" ref="L49:Q49" si="29">SUM(L46:L48)</f>
        <v>8324.7630424029048</v>
      </c>
      <c r="M49" s="686">
        <f t="shared" si="29"/>
        <v>8374.0593711818346</v>
      </c>
      <c r="N49" s="686">
        <f t="shared" si="29"/>
        <v>8423.6116563865144</v>
      </c>
      <c r="O49" s="686">
        <f t="shared" si="29"/>
        <v>8473.420838354712</v>
      </c>
      <c r="P49" s="686">
        <f t="shared" si="29"/>
        <v>8523.4878560883953</v>
      </c>
      <c r="Q49" s="686">
        <f t="shared" si="29"/>
        <v>8573.8136471721591</v>
      </c>
      <c r="S49" s="65"/>
      <c r="T49" s="65"/>
      <c r="U49" s="65"/>
      <c r="V49" s="65"/>
      <c r="W49" s="65"/>
      <c r="X49" s="65"/>
      <c r="Y49" s="65"/>
      <c r="Z49" s="65"/>
      <c r="AJ49" s="152"/>
      <c r="AK49" s="152"/>
      <c r="AL49" s="152"/>
      <c r="AM49" s="152"/>
      <c r="AN49" s="152"/>
    </row>
    <row r="50" spans="1:40" x14ac:dyDescent="0.25">
      <c r="A50" s="153"/>
      <c r="B50" s="161"/>
      <c r="C50" s="138"/>
      <c r="D50" s="704" t="s">
        <v>657</v>
      </c>
      <c r="E50" s="469">
        <f>E49-$D$49</f>
        <v>940.59013125224737</v>
      </c>
      <c r="F50" s="469">
        <f t="shared" ref="F50:I50" si="30">F49-$D$49</f>
        <v>1886.0639951079793</v>
      </c>
      <c r="G50" s="469">
        <f t="shared" si="30"/>
        <v>2836.4395335204899</v>
      </c>
      <c r="H50" s="469">
        <f t="shared" si="30"/>
        <v>3791.7346629553649</v>
      </c>
      <c r="I50" s="469">
        <f t="shared" si="30"/>
        <v>4751.967272834474</v>
      </c>
      <c r="J50" s="153"/>
      <c r="K50" s="153"/>
      <c r="L50" s="708"/>
      <c r="M50" s="686">
        <f>M49-$L$49</f>
        <v>49.296328778929819</v>
      </c>
      <c r="N50" s="686">
        <f t="shared" ref="N50:Q50" si="31">N49-$L$49</f>
        <v>98.848613983609539</v>
      </c>
      <c r="O50" s="686">
        <f t="shared" si="31"/>
        <v>148.6577959518072</v>
      </c>
      <c r="P50" s="686">
        <f t="shared" si="31"/>
        <v>198.72481368549052</v>
      </c>
      <c r="Q50" s="686">
        <f t="shared" si="31"/>
        <v>249.05060476925428</v>
      </c>
      <c r="S50" s="65"/>
      <c r="T50" s="65"/>
      <c r="U50" s="65"/>
      <c r="V50" s="65"/>
      <c r="W50" s="65"/>
      <c r="X50" s="65"/>
      <c r="Y50" s="65"/>
      <c r="Z50" s="65"/>
      <c r="AJ50" s="152"/>
      <c r="AK50" s="152"/>
      <c r="AL50" s="152"/>
      <c r="AM50" s="152"/>
      <c r="AN50" s="152"/>
    </row>
    <row r="51" spans="1:40" x14ac:dyDescent="0.25">
      <c r="A51" s="153"/>
      <c r="B51" s="169"/>
      <c r="C51" s="115"/>
      <c r="D51" s="115"/>
      <c r="E51" s="115"/>
      <c r="F51" s="115"/>
      <c r="G51" s="115"/>
      <c r="H51" s="115"/>
      <c r="I51" s="115"/>
      <c r="J51" s="115"/>
      <c r="K51" s="115"/>
      <c r="L51" s="115"/>
      <c r="M51" s="115"/>
      <c r="N51" s="115"/>
      <c r="O51" s="115"/>
      <c r="P51" s="115"/>
      <c r="Q51" s="115"/>
      <c r="S51" s="65"/>
      <c r="T51" s="65"/>
      <c r="U51" s="65"/>
      <c r="V51" s="65"/>
      <c r="W51" s="65"/>
      <c r="X51" s="65"/>
      <c r="Y51" s="65"/>
      <c r="Z51" s="65"/>
      <c r="AJ51" s="152"/>
      <c r="AK51" s="152"/>
      <c r="AL51" s="152"/>
      <c r="AM51" s="152"/>
      <c r="AN51" s="152"/>
    </row>
    <row r="52" spans="1:40" x14ac:dyDescent="0.25">
      <c r="A52" s="153"/>
      <c r="B52" s="168" t="s">
        <v>850</v>
      </c>
      <c r="C52" s="157"/>
      <c r="D52" s="157"/>
      <c r="E52" s="158"/>
      <c r="F52" s="159"/>
      <c r="G52" s="160"/>
      <c r="H52" s="160"/>
      <c r="I52" s="160"/>
      <c r="J52" s="206"/>
      <c r="K52" s="153"/>
      <c r="L52" s="153"/>
      <c r="M52" s="153"/>
      <c r="N52" s="153"/>
      <c r="O52" s="153"/>
      <c r="P52" s="153"/>
      <c r="Q52" s="115"/>
      <c r="V52" s="65"/>
    </row>
    <row r="53" spans="1:40" x14ac:dyDescent="0.25">
      <c r="A53" s="153"/>
      <c r="B53" s="705" t="s">
        <v>752</v>
      </c>
      <c r="C53" s="197"/>
      <c r="D53" s="197"/>
      <c r="E53" s="197"/>
      <c r="F53" s="197"/>
      <c r="G53" s="197"/>
      <c r="H53" s="197"/>
      <c r="I53" s="414"/>
      <c r="J53" s="205"/>
      <c r="K53" s="115"/>
      <c r="L53" s="204"/>
      <c r="M53" s="204"/>
      <c r="N53" s="204"/>
      <c r="O53" s="204"/>
      <c r="P53" s="204"/>
      <c r="Q53" s="204"/>
      <c r="V53" s="65"/>
    </row>
    <row r="54" spans="1:40" ht="74.849999999999994" customHeight="1" x14ac:dyDescent="0.25">
      <c r="A54" s="153"/>
      <c r="B54" s="667" t="s">
        <v>505</v>
      </c>
      <c r="C54" s="697"/>
      <c r="D54" s="674" t="s">
        <v>643</v>
      </c>
      <c r="E54" s="662" t="s">
        <v>434</v>
      </c>
      <c r="F54" s="662" t="s">
        <v>435</v>
      </c>
      <c r="G54" s="612" t="s">
        <v>613</v>
      </c>
      <c r="H54" s="612" t="s">
        <v>614</v>
      </c>
      <c r="I54" s="662" t="s">
        <v>615</v>
      </c>
      <c r="J54" s="153"/>
      <c r="K54" s="698" t="s">
        <v>948</v>
      </c>
      <c r="L54" s="674" t="s">
        <v>643</v>
      </c>
      <c r="M54" s="699" t="s">
        <v>434</v>
      </c>
      <c r="N54" s="699" t="s">
        <v>435</v>
      </c>
      <c r="O54" s="700" t="s">
        <v>613</v>
      </c>
      <c r="P54" s="700" t="s">
        <v>614</v>
      </c>
      <c r="Q54" s="699" t="s">
        <v>615</v>
      </c>
      <c r="V54" s="65"/>
    </row>
    <row r="55" spans="1:40" x14ac:dyDescent="0.25">
      <c r="A55" s="153"/>
      <c r="B55" s="178" t="s">
        <v>534</v>
      </c>
      <c r="C55" s="475"/>
      <c r="D55" s="608">
        <f>Summary!C23</f>
        <v>9913.3915654326174</v>
      </c>
      <c r="E55" s="608">
        <f>Summary!D23</f>
        <v>9992.6986979560788</v>
      </c>
      <c r="F55" s="608">
        <f>Summary!E23</f>
        <v>10072.640287539729</v>
      </c>
      <c r="G55" s="608">
        <f>Summary!F23</f>
        <v>10153.221409840045</v>
      </c>
      <c r="H55" s="608">
        <f>Summary!G23</f>
        <v>10234.447181118767</v>
      </c>
      <c r="I55" s="608">
        <f>Summary!H23</f>
        <v>10316.322758567718</v>
      </c>
      <c r="J55" s="153"/>
      <c r="K55" s="706">
        <f>'Unit costs'!$O$43</f>
        <v>143.34792222272162</v>
      </c>
      <c r="L55" s="690">
        <f>D55*$K55/1000</f>
        <v>1421.0640830850193</v>
      </c>
      <c r="M55" s="690">
        <f t="shared" ref="M55:Q57" si="32">E55*$K55/1000</f>
        <v>1432.4325957496994</v>
      </c>
      <c r="N55" s="690">
        <f t="shared" si="32"/>
        <v>1443.8920565156973</v>
      </c>
      <c r="O55" s="690">
        <f t="shared" si="32"/>
        <v>1455.4431929678228</v>
      </c>
      <c r="P55" s="690">
        <f t="shared" si="32"/>
        <v>1467.0867385115655</v>
      </c>
      <c r="Q55" s="690">
        <f t="shared" si="32"/>
        <v>1478.8234324196583</v>
      </c>
      <c r="S55" s="65"/>
      <c r="T55" s="65"/>
      <c r="U55" s="65"/>
      <c r="V55" s="65"/>
      <c r="W55" s="65"/>
      <c r="X55" s="65"/>
      <c r="Y55" s="65"/>
      <c r="Z55" s="65"/>
      <c r="AJ55" s="152"/>
      <c r="AK55" s="152"/>
      <c r="AL55" s="152"/>
      <c r="AM55" s="152"/>
      <c r="AN55" s="152"/>
    </row>
    <row r="56" spans="1:40" x14ac:dyDescent="0.25">
      <c r="A56" s="153"/>
      <c r="B56" s="178" t="s">
        <v>484</v>
      </c>
      <c r="C56" s="475"/>
      <c r="D56" s="608">
        <f>Summary!C24</f>
        <v>11010.178212124971</v>
      </c>
      <c r="E56" s="608">
        <f>Summary!D24</f>
        <v>11098.259637821971</v>
      </c>
      <c r="F56" s="608">
        <f>Summary!E24</f>
        <v>11187.045714924547</v>
      </c>
      <c r="G56" s="608">
        <f>Summary!F24</f>
        <v>11276.542080643943</v>
      </c>
      <c r="H56" s="608">
        <f>Summary!G24</f>
        <v>11366.754417289096</v>
      </c>
      <c r="I56" s="608">
        <f>Summary!H24</f>
        <v>11457.688452627408</v>
      </c>
      <c r="J56" s="153"/>
      <c r="K56" s="706">
        <f>'Unit costs'!$O$43</f>
        <v>143.34792222272162</v>
      </c>
      <c r="L56" s="690">
        <f>D56*$K56/1000</f>
        <v>1578.2861700099945</v>
      </c>
      <c r="M56" s="690">
        <f t="shared" si="32"/>
        <v>1590.9124593700747</v>
      </c>
      <c r="N56" s="690">
        <f t="shared" si="32"/>
        <v>1603.6397590450351</v>
      </c>
      <c r="O56" s="690">
        <f t="shared" si="32"/>
        <v>1616.4688771173953</v>
      </c>
      <c r="P56" s="690">
        <f t="shared" si="32"/>
        <v>1629.4006281343347</v>
      </c>
      <c r="Q56" s="690">
        <f t="shared" si="32"/>
        <v>1642.4358331594092</v>
      </c>
      <c r="S56" s="65"/>
      <c r="T56" s="65"/>
      <c r="U56" s="65"/>
      <c r="V56" s="65"/>
      <c r="W56" s="65"/>
      <c r="X56" s="65"/>
      <c r="Y56" s="65"/>
      <c r="Z56" s="65"/>
      <c r="AJ56" s="152"/>
      <c r="AK56" s="152"/>
      <c r="AL56" s="152"/>
      <c r="AM56" s="152"/>
      <c r="AN56" s="152"/>
    </row>
    <row r="57" spans="1:40" ht="19.149999999999999" customHeight="1" x14ac:dyDescent="0.25">
      <c r="A57" s="153"/>
      <c r="B57" s="178" t="s">
        <v>831</v>
      </c>
      <c r="C57" s="475"/>
      <c r="D57" s="608">
        <f>Summary!C25</f>
        <v>11158.603573357033</v>
      </c>
      <c r="E57" s="608">
        <f>Summary!D25</f>
        <v>11247.872401943891</v>
      </c>
      <c r="F57" s="608">
        <f>Summary!E25</f>
        <v>11337.855381159443</v>
      </c>
      <c r="G57" s="608">
        <f>Summary!F25</f>
        <v>11428.558224208718</v>
      </c>
      <c r="H57" s="608">
        <f>Summary!G25</f>
        <v>11519.986690002388</v>
      </c>
      <c r="I57" s="608">
        <f>Summary!H25</f>
        <v>11612.146583522408</v>
      </c>
      <c r="J57" s="153"/>
      <c r="K57" s="706">
        <f>'Unit costs'!$O$43</f>
        <v>143.34792222272162</v>
      </c>
      <c r="L57" s="690">
        <f>D57*$K57/1000</f>
        <v>1599.5626371477674</v>
      </c>
      <c r="M57" s="690">
        <f t="shared" si="32"/>
        <v>1612.3591382449497</v>
      </c>
      <c r="N57" s="690">
        <f t="shared" si="32"/>
        <v>1625.2580113509098</v>
      </c>
      <c r="O57" s="690">
        <f t="shared" si="32"/>
        <v>1638.2600754417169</v>
      </c>
      <c r="P57" s="690">
        <f t="shared" si="32"/>
        <v>1651.3661560452506</v>
      </c>
      <c r="Q57" s="690">
        <f t="shared" si="32"/>
        <v>1664.5770852936128</v>
      </c>
      <c r="S57" s="65"/>
      <c r="T57" s="65"/>
      <c r="U57" s="65"/>
      <c r="V57" s="65"/>
      <c r="W57" s="65"/>
      <c r="X57" s="65"/>
      <c r="Y57" s="65"/>
      <c r="Z57" s="65"/>
      <c r="AJ57" s="152"/>
      <c r="AK57" s="152"/>
      <c r="AL57" s="152"/>
      <c r="AM57" s="152"/>
      <c r="AN57" s="152"/>
    </row>
    <row r="58" spans="1:40" x14ac:dyDescent="0.25">
      <c r="A58" s="153"/>
      <c r="B58" s="703" t="s">
        <v>656</v>
      </c>
      <c r="C58" s="707"/>
      <c r="D58" s="469">
        <f t="shared" ref="D58:I58" si="33">SUM(D55:D57)</f>
        <v>32082.173350914622</v>
      </c>
      <c r="E58" s="469">
        <f t="shared" si="33"/>
        <v>32338.830737721939</v>
      </c>
      <c r="F58" s="469">
        <f t="shared" si="33"/>
        <v>32597.541383623717</v>
      </c>
      <c r="G58" s="469">
        <f t="shared" si="33"/>
        <v>32858.321714692705</v>
      </c>
      <c r="H58" s="469">
        <f t="shared" si="33"/>
        <v>33121.188288410252</v>
      </c>
      <c r="I58" s="469">
        <f t="shared" si="33"/>
        <v>33386.157794717532</v>
      </c>
      <c r="J58" s="153"/>
      <c r="K58" s="153"/>
      <c r="L58" s="686">
        <f>SUM(L55:L57)</f>
        <v>4598.912890242781</v>
      </c>
      <c r="M58" s="686">
        <f t="shared" ref="M58:Q58" si="34">SUM(M55:M57)</f>
        <v>4635.7041933647233</v>
      </c>
      <c r="N58" s="686">
        <f t="shared" si="34"/>
        <v>4672.7898269116422</v>
      </c>
      <c r="O58" s="686">
        <f t="shared" si="34"/>
        <v>4710.1721455269353</v>
      </c>
      <c r="P58" s="686">
        <f t="shared" si="34"/>
        <v>4747.8535226911508</v>
      </c>
      <c r="Q58" s="686">
        <f t="shared" si="34"/>
        <v>4785.8363508726807</v>
      </c>
      <c r="S58" s="65"/>
      <c r="T58" s="65"/>
      <c r="U58" s="65"/>
      <c r="V58" s="65"/>
      <c r="W58" s="65"/>
      <c r="X58" s="65"/>
      <c r="Y58" s="65"/>
      <c r="Z58" s="65"/>
      <c r="AJ58" s="152"/>
      <c r="AK58" s="152"/>
      <c r="AL58" s="152"/>
      <c r="AM58" s="152"/>
      <c r="AN58" s="152"/>
    </row>
    <row r="59" spans="1:40" x14ac:dyDescent="0.25">
      <c r="A59" s="153"/>
      <c r="B59" s="161"/>
      <c r="C59" s="138"/>
      <c r="D59" s="704" t="s">
        <v>945</v>
      </c>
      <c r="E59" s="469">
        <f>E58-$D$58</f>
        <v>256.65738680731738</v>
      </c>
      <c r="F59" s="469">
        <f t="shared" ref="F59:I59" si="35">F58-$D$58</f>
        <v>515.36803270909513</v>
      </c>
      <c r="G59" s="469">
        <f t="shared" si="35"/>
        <v>776.14836377808388</v>
      </c>
      <c r="H59" s="469">
        <f t="shared" si="35"/>
        <v>1039.0149374956309</v>
      </c>
      <c r="I59" s="469">
        <f t="shared" si="35"/>
        <v>1303.9844438029104</v>
      </c>
      <c r="J59" s="153"/>
      <c r="K59" s="153"/>
      <c r="L59" s="708"/>
      <c r="M59" s="686">
        <f>M58-$L$58</f>
        <v>36.791303121942292</v>
      </c>
      <c r="N59" s="686">
        <f t="shared" ref="N59:Q59" si="36">N58-$L$58</f>
        <v>73.876936668861163</v>
      </c>
      <c r="O59" s="686">
        <f t="shared" si="36"/>
        <v>111.25925528415428</v>
      </c>
      <c r="P59" s="686">
        <f t="shared" si="36"/>
        <v>148.9406324483698</v>
      </c>
      <c r="Q59" s="686">
        <f t="shared" si="36"/>
        <v>186.92346062989964</v>
      </c>
      <c r="S59" s="65"/>
      <c r="T59" s="65"/>
      <c r="U59" s="65"/>
      <c r="V59" s="65"/>
      <c r="W59" s="65"/>
      <c r="X59" s="65"/>
      <c r="Y59" s="65"/>
      <c r="Z59" s="65"/>
      <c r="AJ59" s="152"/>
      <c r="AK59" s="152"/>
      <c r="AL59" s="152"/>
      <c r="AM59" s="152"/>
      <c r="AN59" s="152"/>
    </row>
    <row r="60" spans="1:40" x14ac:dyDescent="0.25">
      <c r="A60" s="153"/>
      <c r="B60" s="169"/>
      <c r="C60" s="115"/>
      <c r="D60" s="115"/>
      <c r="E60" s="115"/>
      <c r="F60" s="115"/>
      <c r="G60" s="115"/>
      <c r="H60" s="115"/>
      <c r="I60" s="115"/>
      <c r="J60" s="115"/>
      <c r="K60" s="115"/>
      <c r="L60" s="115"/>
      <c r="M60" s="115"/>
      <c r="N60" s="115"/>
      <c r="O60" s="115"/>
      <c r="P60" s="115"/>
      <c r="Q60" s="115"/>
      <c r="S60" s="65"/>
      <c r="T60" s="65"/>
      <c r="U60" s="65"/>
      <c r="V60" s="65"/>
      <c r="W60" s="65"/>
      <c r="X60" s="65"/>
      <c r="Y60" s="65"/>
      <c r="Z60" s="65"/>
      <c r="AJ60" s="152"/>
      <c r="AK60" s="152"/>
      <c r="AL60" s="152"/>
      <c r="AM60" s="152"/>
      <c r="AN60" s="152"/>
    </row>
    <row r="61" spans="1:40" x14ac:dyDescent="0.25">
      <c r="A61" s="153"/>
      <c r="B61" s="168" t="s">
        <v>850</v>
      </c>
      <c r="C61" s="157"/>
      <c r="D61" s="157"/>
      <c r="E61" s="158"/>
      <c r="F61" s="159"/>
      <c r="G61" s="160"/>
      <c r="H61" s="160"/>
      <c r="I61" s="160"/>
      <c r="J61" s="206"/>
      <c r="K61" s="153"/>
      <c r="L61" s="153"/>
      <c r="M61" s="153"/>
      <c r="N61" s="153"/>
      <c r="O61" s="153"/>
      <c r="P61" s="153"/>
      <c r="Q61" s="115"/>
      <c r="V61" s="65"/>
    </row>
    <row r="62" spans="1:40" x14ac:dyDescent="0.25">
      <c r="A62" s="153"/>
      <c r="B62" s="705" t="s">
        <v>753</v>
      </c>
      <c r="C62" s="197"/>
      <c r="D62" s="197"/>
      <c r="E62" s="197"/>
      <c r="F62" s="197"/>
      <c r="G62" s="197"/>
      <c r="H62" s="197"/>
      <c r="I62" s="414"/>
      <c r="J62" s="205"/>
      <c r="K62" s="115"/>
      <c r="L62" s="204"/>
      <c r="M62" s="204"/>
      <c r="N62" s="204"/>
      <c r="O62" s="204"/>
      <c r="P62" s="204"/>
      <c r="Q62" s="204"/>
      <c r="V62" s="65"/>
    </row>
    <row r="63" spans="1:40" ht="74.849999999999994" customHeight="1" x14ac:dyDescent="0.25">
      <c r="A63" s="153"/>
      <c r="B63" s="667" t="s">
        <v>505</v>
      </c>
      <c r="C63" s="697" t="s">
        <v>747</v>
      </c>
      <c r="D63" s="674" t="s">
        <v>643</v>
      </c>
      <c r="E63" s="662" t="s">
        <v>434</v>
      </c>
      <c r="F63" s="662" t="s">
        <v>435</v>
      </c>
      <c r="G63" s="612" t="s">
        <v>613</v>
      </c>
      <c r="H63" s="612" t="s">
        <v>614</v>
      </c>
      <c r="I63" s="662" t="s">
        <v>615</v>
      </c>
      <c r="J63" s="153"/>
      <c r="K63" s="698" t="s">
        <v>653</v>
      </c>
      <c r="L63" s="674" t="s">
        <v>643</v>
      </c>
      <c r="M63" s="699" t="s">
        <v>434</v>
      </c>
      <c r="N63" s="699" t="s">
        <v>435</v>
      </c>
      <c r="O63" s="700" t="s">
        <v>613</v>
      </c>
      <c r="P63" s="700" t="s">
        <v>614</v>
      </c>
      <c r="Q63" s="699" t="s">
        <v>615</v>
      </c>
      <c r="V63" s="65"/>
    </row>
    <row r="64" spans="1:40" x14ac:dyDescent="0.25">
      <c r="A64" s="153"/>
      <c r="B64" s="178" t="s">
        <v>534</v>
      </c>
      <c r="C64" s="475">
        <f>'Inputs and eligible population'!H70</f>
        <v>15</v>
      </c>
      <c r="D64" s="608">
        <f>D55*$C64/60</f>
        <v>2478.3478913581544</v>
      </c>
      <c r="E64" s="608">
        <f t="shared" ref="E64:I64" si="37">E55*$C64/60</f>
        <v>2498.1746744890197</v>
      </c>
      <c r="F64" s="608">
        <f t="shared" si="37"/>
        <v>2518.1600718849322</v>
      </c>
      <c r="G64" s="608">
        <f t="shared" si="37"/>
        <v>2538.3053524600114</v>
      </c>
      <c r="H64" s="608">
        <f t="shared" si="37"/>
        <v>2558.6117952796917</v>
      </c>
      <c r="I64" s="608">
        <f t="shared" si="37"/>
        <v>2579.0806896419294</v>
      </c>
      <c r="J64" s="153"/>
      <c r="K64" s="743"/>
      <c r="L64" s="744"/>
      <c r="M64" s="744"/>
      <c r="N64" s="744"/>
      <c r="O64" s="744"/>
      <c r="P64" s="744"/>
      <c r="Q64" s="744"/>
      <c r="S64" s="65"/>
      <c r="T64" s="65"/>
      <c r="U64" s="65"/>
      <c r="V64" s="65"/>
      <c r="W64" s="65"/>
      <c r="X64" s="65"/>
      <c r="Y64" s="65"/>
      <c r="Z64" s="65"/>
      <c r="AJ64" s="152"/>
      <c r="AK64" s="152"/>
      <c r="AL64" s="152"/>
      <c r="AM64" s="152"/>
      <c r="AN64" s="152"/>
    </row>
    <row r="65" spans="1:40" x14ac:dyDescent="0.25">
      <c r="A65" s="153"/>
      <c r="B65" s="178" t="s">
        <v>484</v>
      </c>
      <c r="C65" s="475">
        <f>'Inputs and eligible population'!H71</f>
        <v>20</v>
      </c>
      <c r="D65" s="608">
        <f>D56*$C65/60</f>
        <v>3670.0594040416568</v>
      </c>
      <c r="E65" s="608">
        <f t="shared" ref="E65:I65" si="38">E56*$C65/60</f>
        <v>3699.4198792739908</v>
      </c>
      <c r="F65" s="608">
        <f t="shared" si="38"/>
        <v>3729.0152383081822</v>
      </c>
      <c r="G65" s="608">
        <f t="shared" si="38"/>
        <v>3758.8473602146478</v>
      </c>
      <c r="H65" s="608">
        <f t="shared" si="38"/>
        <v>3788.9181390963649</v>
      </c>
      <c r="I65" s="608">
        <f t="shared" si="38"/>
        <v>3819.229484209136</v>
      </c>
      <c r="J65" s="153"/>
      <c r="K65" s="743"/>
      <c r="L65" s="744"/>
      <c r="M65" s="744"/>
      <c r="N65" s="744"/>
      <c r="O65" s="744"/>
      <c r="P65" s="744"/>
      <c r="Q65" s="744"/>
      <c r="S65" s="65"/>
      <c r="T65" s="65"/>
      <c r="U65" s="65"/>
      <c r="V65" s="65"/>
      <c r="W65" s="65"/>
      <c r="X65" s="65"/>
      <c r="Y65" s="65"/>
      <c r="Z65" s="65"/>
      <c r="AJ65" s="152"/>
      <c r="AK65" s="152"/>
      <c r="AL65" s="152"/>
      <c r="AM65" s="152"/>
      <c r="AN65" s="152"/>
    </row>
    <row r="66" spans="1:40" x14ac:dyDescent="0.25">
      <c r="A66" s="153"/>
      <c r="B66" s="178" t="s">
        <v>831</v>
      </c>
      <c r="C66" s="475">
        <f>'Inputs and eligible population'!H72</f>
        <v>30</v>
      </c>
      <c r="D66" s="608">
        <f>D57*$C66/60</f>
        <v>5579.3017866785167</v>
      </c>
      <c r="E66" s="608">
        <f t="shared" ref="E66:I66" si="39">E57*$C66/60</f>
        <v>5623.9362009719453</v>
      </c>
      <c r="F66" s="608">
        <f t="shared" si="39"/>
        <v>5668.9276905797215</v>
      </c>
      <c r="G66" s="608">
        <f t="shared" si="39"/>
        <v>5714.2791121043592</v>
      </c>
      <c r="H66" s="608">
        <f t="shared" si="39"/>
        <v>5759.993345001194</v>
      </c>
      <c r="I66" s="608">
        <f t="shared" si="39"/>
        <v>5806.073291761204</v>
      </c>
      <c r="J66" s="153"/>
      <c r="K66" s="743"/>
      <c r="L66" s="744"/>
      <c r="M66" s="744"/>
      <c r="N66" s="744"/>
      <c r="O66" s="744"/>
      <c r="P66" s="744"/>
      <c r="Q66" s="744"/>
      <c r="S66" s="65"/>
      <c r="T66" s="65"/>
      <c r="U66" s="65"/>
      <c r="V66" s="65"/>
      <c r="W66" s="65"/>
      <c r="X66" s="65"/>
      <c r="Y66" s="65"/>
      <c r="Z66" s="65"/>
      <c r="AJ66" s="152"/>
      <c r="AK66" s="152"/>
      <c r="AL66" s="152"/>
      <c r="AM66" s="152"/>
      <c r="AN66" s="152"/>
    </row>
    <row r="67" spans="1:40" x14ac:dyDescent="0.25">
      <c r="A67" s="153"/>
      <c r="B67" s="703" t="s">
        <v>656</v>
      </c>
      <c r="C67" s="707"/>
      <c r="D67" s="469">
        <f t="shared" ref="D67:I67" si="40">SUM(D64:D66)</f>
        <v>11727.709082078327</v>
      </c>
      <c r="E67" s="469">
        <f t="shared" si="40"/>
        <v>11821.530754734955</v>
      </c>
      <c r="F67" s="469">
        <f t="shared" si="40"/>
        <v>11916.103000772837</v>
      </c>
      <c r="G67" s="469">
        <f t="shared" si="40"/>
        <v>12011.431824779018</v>
      </c>
      <c r="H67" s="469">
        <f t="shared" si="40"/>
        <v>12107.52327937725</v>
      </c>
      <c r="I67" s="469">
        <f t="shared" si="40"/>
        <v>12204.383465612269</v>
      </c>
      <c r="J67" s="153"/>
      <c r="K67" s="153"/>
      <c r="L67" s="466"/>
      <c r="M67" s="466"/>
      <c r="N67" s="466"/>
      <c r="O67" s="466"/>
      <c r="P67" s="466"/>
      <c r="Q67" s="466"/>
      <c r="S67" s="65"/>
      <c r="T67" s="65"/>
      <c r="U67" s="65"/>
      <c r="V67" s="65"/>
      <c r="W67" s="65"/>
      <c r="X67" s="65"/>
      <c r="Y67" s="65"/>
      <c r="Z67" s="65"/>
      <c r="AJ67" s="152"/>
      <c r="AK67" s="152"/>
      <c r="AL67" s="152"/>
      <c r="AM67" s="152"/>
      <c r="AN67" s="152"/>
    </row>
    <row r="68" spans="1:40" x14ac:dyDescent="0.25">
      <c r="A68" s="153"/>
      <c r="B68" s="161"/>
      <c r="C68" s="138"/>
      <c r="D68" s="704" t="s">
        <v>946</v>
      </c>
      <c r="E68" s="469">
        <f>E67-$D$67</f>
        <v>93.821672656627925</v>
      </c>
      <c r="F68" s="469">
        <f t="shared" ref="F68:I68" si="41">F67-$D$67</f>
        <v>188.39391869450992</v>
      </c>
      <c r="G68" s="469">
        <f t="shared" si="41"/>
        <v>283.72274270069101</v>
      </c>
      <c r="H68" s="469">
        <f t="shared" si="41"/>
        <v>379.81419729892332</v>
      </c>
      <c r="I68" s="469">
        <f t="shared" si="41"/>
        <v>476.67438353394209</v>
      </c>
      <c r="J68" s="153"/>
      <c r="K68" s="153"/>
      <c r="L68" s="708"/>
      <c r="M68" s="466"/>
      <c r="N68" s="466"/>
      <c r="O68" s="466"/>
      <c r="P68" s="466"/>
      <c r="Q68" s="466"/>
      <c r="S68" s="65"/>
      <c r="T68" s="65"/>
      <c r="U68" s="65"/>
      <c r="V68" s="65"/>
      <c r="W68" s="65"/>
      <c r="X68" s="65"/>
      <c r="Y68" s="65"/>
      <c r="Z68" s="65"/>
      <c r="AJ68" s="152"/>
      <c r="AK68" s="152"/>
      <c r="AL68" s="152"/>
      <c r="AM68" s="152"/>
      <c r="AN68" s="152"/>
    </row>
    <row r="69" spans="1:40" x14ac:dyDescent="0.25">
      <c r="A69" s="153"/>
      <c r="B69" s="169"/>
      <c r="C69" s="115"/>
      <c r="D69" s="115"/>
      <c r="E69" s="115"/>
      <c r="F69" s="115"/>
      <c r="G69" s="115"/>
      <c r="H69" s="115"/>
      <c r="I69" s="115"/>
      <c r="J69" s="115"/>
      <c r="K69" s="115"/>
      <c r="L69" s="115"/>
      <c r="M69" s="115"/>
      <c r="N69" s="115"/>
      <c r="O69" s="115"/>
      <c r="P69" s="115"/>
      <c r="Q69" s="115"/>
      <c r="S69" s="65"/>
      <c r="T69" s="65"/>
      <c r="U69" s="65"/>
      <c r="V69" s="65"/>
      <c r="W69" s="65"/>
      <c r="X69" s="65"/>
      <c r="Y69" s="65"/>
      <c r="Z69" s="65"/>
      <c r="AJ69" s="152"/>
      <c r="AK69" s="152"/>
      <c r="AL69" s="152"/>
      <c r="AM69" s="152"/>
      <c r="AN69" s="152"/>
    </row>
    <row r="70" spans="1:40" x14ac:dyDescent="0.25">
      <c r="A70" s="153"/>
      <c r="B70" s="153"/>
      <c r="C70" s="416"/>
      <c r="D70" s="417"/>
      <c r="E70" s="418"/>
      <c r="F70" s="418"/>
      <c r="G70" s="418"/>
      <c r="H70" s="418"/>
      <c r="I70" s="418"/>
      <c r="J70" s="153"/>
      <c r="K70" s="153"/>
      <c r="L70" s="419"/>
      <c r="M70" s="420"/>
      <c r="N70" s="420"/>
      <c r="O70" s="420"/>
      <c r="P70" s="420"/>
      <c r="Q70" s="420"/>
      <c r="R70" s="65"/>
      <c r="S70" s="65"/>
      <c r="T70" s="65"/>
      <c r="U70" s="65"/>
      <c r="V70" s="65"/>
      <c r="W70" s="65"/>
      <c r="X70" s="65"/>
      <c r="Y70" s="65"/>
      <c r="Z70" s="65"/>
      <c r="AJ70" s="152"/>
      <c r="AK70" s="152"/>
      <c r="AL70" s="152"/>
      <c r="AM70" s="152"/>
      <c r="AN70" s="152"/>
    </row>
    <row r="71" spans="1:40" x14ac:dyDescent="0.25">
      <c r="A71" s="153"/>
      <c r="B71" s="168" t="s">
        <v>659</v>
      </c>
      <c r="C71" s="157"/>
      <c r="D71" s="157"/>
      <c r="E71" s="158"/>
      <c r="F71" s="159"/>
      <c r="G71" s="160"/>
      <c r="H71" s="160"/>
      <c r="I71" s="160"/>
      <c r="J71" s="206"/>
      <c r="K71" s="153"/>
      <c r="L71" s="153"/>
      <c r="M71" s="153"/>
      <c r="N71" s="153"/>
      <c r="O71" s="153"/>
      <c r="P71" s="153"/>
      <c r="Q71" s="115"/>
      <c r="R71" s="65"/>
      <c r="S71" s="65"/>
      <c r="T71" s="65"/>
      <c r="U71" s="65"/>
      <c r="V71" s="65"/>
      <c r="W71" s="65"/>
      <c r="X71" s="65"/>
      <c r="Y71" s="65"/>
      <c r="Z71" s="65"/>
      <c r="AJ71" s="152"/>
      <c r="AK71" s="152"/>
      <c r="AL71" s="152"/>
      <c r="AM71" s="152"/>
      <c r="AN71" s="152"/>
    </row>
    <row r="72" spans="1:40" x14ac:dyDescent="0.25">
      <c r="A72" s="153"/>
      <c r="B72" s="415" t="s">
        <v>761</v>
      </c>
      <c r="C72" s="197"/>
      <c r="D72" s="197"/>
      <c r="E72" s="197"/>
      <c r="F72" s="197"/>
      <c r="G72" s="197"/>
      <c r="H72" s="197"/>
      <c r="I72" s="414"/>
      <c r="J72" s="205"/>
      <c r="K72" s="115"/>
      <c r="L72" s="204"/>
      <c r="M72" s="204"/>
      <c r="N72" s="204"/>
      <c r="O72" s="204"/>
      <c r="P72" s="204"/>
      <c r="Q72" s="204"/>
      <c r="R72" s="65"/>
      <c r="S72" s="65"/>
      <c r="T72" s="65"/>
      <c r="U72" s="65"/>
      <c r="V72" s="65"/>
      <c r="W72" s="65"/>
      <c r="X72" s="65"/>
      <c r="Y72" s="65"/>
      <c r="Z72" s="65"/>
      <c r="AJ72" s="152"/>
      <c r="AK72" s="152"/>
      <c r="AL72" s="152"/>
      <c r="AM72" s="152"/>
      <c r="AN72" s="152"/>
    </row>
    <row r="73" spans="1:40" ht="45" x14ac:dyDescent="0.25">
      <c r="A73" s="153"/>
      <c r="B73" s="667" t="s">
        <v>505</v>
      </c>
      <c r="C73" s="697" t="s">
        <v>658</v>
      </c>
      <c r="D73" s="674" t="s">
        <v>643</v>
      </c>
      <c r="E73" s="662" t="s">
        <v>434</v>
      </c>
      <c r="F73" s="662" t="s">
        <v>435</v>
      </c>
      <c r="G73" s="612" t="s">
        <v>613</v>
      </c>
      <c r="H73" s="612" t="s">
        <v>614</v>
      </c>
      <c r="I73" s="662" t="s">
        <v>615</v>
      </c>
      <c r="J73" s="153"/>
      <c r="K73" s="698" t="s">
        <v>653</v>
      </c>
      <c r="L73" s="674" t="s">
        <v>643</v>
      </c>
      <c r="M73" s="699" t="s">
        <v>434</v>
      </c>
      <c r="N73" s="699" t="s">
        <v>435</v>
      </c>
      <c r="O73" s="700" t="s">
        <v>613</v>
      </c>
      <c r="P73" s="700" t="s">
        <v>614</v>
      </c>
      <c r="Q73" s="699" t="s">
        <v>615</v>
      </c>
      <c r="R73" s="65"/>
      <c r="S73" s="65"/>
      <c r="T73" s="65"/>
      <c r="U73" s="65"/>
      <c r="V73" s="65"/>
      <c r="W73" s="65"/>
      <c r="X73" s="65"/>
      <c r="Y73" s="65"/>
      <c r="Z73" s="65"/>
      <c r="AJ73" s="152"/>
      <c r="AK73" s="152"/>
      <c r="AL73" s="152"/>
      <c r="AM73" s="152"/>
      <c r="AN73" s="152"/>
    </row>
    <row r="74" spans="1:40" x14ac:dyDescent="0.25">
      <c r="A74" s="153"/>
      <c r="B74" s="178" t="s">
        <v>660</v>
      </c>
      <c r="C74" s="475">
        <f>'Inputs and eligible population'!H69</f>
        <v>15</v>
      </c>
      <c r="D74" s="608">
        <f>('Interventions inputs'!L57*'Capacity (local prices)'!$C74)/60</f>
        <v>0</v>
      </c>
      <c r="E74" s="608">
        <f>('Interventions inputs'!M57*'Capacity (local prices)'!$C74)/60</f>
        <v>-9442.5714425839087</v>
      </c>
      <c r="F74" s="608">
        <f>('Interventions inputs'!N57*'Capacity (local prices)'!$C74)/60</f>
        <v>-14277.168021186875</v>
      </c>
      <c r="G74" s="608">
        <f>('Interventions inputs'!O57*'Capacity (local prices)'!$C74)/60</f>
        <v>-19188.51382047516</v>
      </c>
      <c r="H74" s="608">
        <f>('Interventions inputs'!P57*'Capacity (local prices)'!$C74)/60</f>
        <v>-24177.527413798703</v>
      </c>
      <c r="I74" s="608">
        <f>('Interventions inputs'!Q57*'Capacity (local prices)'!$C74)/60</f>
        <v>-29245.137159730908</v>
      </c>
      <c r="J74" s="153"/>
      <c r="K74" s="706">
        <f>'Inputs and eligible population'!K69</f>
        <v>52.41</v>
      </c>
      <c r="L74" s="690">
        <f>(D74*$K74)/1000</f>
        <v>0</v>
      </c>
      <c r="M74" s="690">
        <f t="shared" ref="M74" si="42">(E74*$K74)/1000</f>
        <v>-494.88516930582261</v>
      </c>
      <c r="N74" s="690">
        <f t="shared" ref="N74" si="43">(F74*$K74)/1000</f>
        <v>-748.26637599040407</v>
      </c>
      <c r="O74" s="690">
        <f t="shared" ref="O74" si="44">(G74*$K74)/1000</f>
        <v>-1005.6700093311031</v>
      </c>
      <c r="P74" s="690">
        <f t="shared" ref="P74" si="45">(H74*$K74)/1000</f>
        <v>-1267.1442117571901</v>
      </c>
      <c r="Q74" s="690">
        <f t="shared" ref="Q74" si="46">(I74*$K74)/1000</f>
        <v>-1532.7376385414968</v>
      </c>
      <c r="R74" s="65"/>
      <c r="S74" s="65"/>
      <c r="T74" s="65"/>
      <c r="U74" s="65"/>
      <c r="V74" s="65"/>
      <c r="W74" s="65"/>
      <c r="X74" s="65"/>
      <c r="Y74" s="65"/>
      <c r="Z74" s="65"/>
      <c r="AJ74" s="152"/>
      <c r="AK74" s="152"/>
      <c r="AL74" s="152"/>
      <c r="AM74" s="152"/>
      <c r="AN74" s="152"/>
    </row>
    <row r="75" spans="1:40" x14ac:dyDescent="0.25">
      <c r="A75" s="153"/>
      <c r="B75" s="703" t="s">
        <v>656</v>
      </c>
      <c r="C75" s="707"/>
      <c r="D75" s="469">
        <f t="shared" ref="D75:I75" si="47">SUM(D74:D74)</f>
        <v>0</v>
      </c>
      <c r="E75" s="469">
        <f t="shared" si="47"/>
        <v>-9442.5714425839087</v>
      </c>
      <c r="F75" s="469">
        <f t="shared" si="47"/>
        <v>-14277.168021186875</v>
      </c>
      <c r="G75" s="469">
        <f t="shared" si="47"/>
        <v>-19188.51382047516</v>
      </c>
      <c r="H75" s="469">
        <f t="shared" si="47"/>
        <v>-24177.527413798703</v>
      </c>
      <c r="I75" s="469">
        <f t="shared" si="47"/>
        <v>-29245.137159730908</v>
      </c>
      <c r="J75" s="153"/>
      <c r="K75" s="153"/>
      <c r="L75" s="686">
        <f t="shared" ref="L75:Q75" si="48">SUM(L74:L74)</f>
        <v>0</v>
      </c>
      <c r="M75" s="686">
        <f t="shared" si="48"/>
        <v>-494.88516930582261</v>
      </c>
      <c r="N75" s="686">
        <f t="shared" si="48"/>
        <v>-748.26637599040407</v>
      </c>
      <c r="O75" s="686">
        <f t="shared" si="48"/>
        <v>-1005.6700093311031</v>
      </c>
      <c r="P75" s="686">
        <f t="shared" si="48"/>
        <v>-1267.1442117571901</v>
      </c>
      <c r="Q75" s="686">
        <f t="shared" si="48"/>
        <v>-1532.7376385414968</v>
      </c>
      <c r="R75" s="65"/>
      <c r="S75" s="65"/>
      <c r="T75" s="65"/>
      <c r="U75" s="65"/>
      <c r="V75" s="65"/>
      <c r="W75" s="65"/>
      <c r="X75" s="65"/>
      <c r="Y75" s="65"/>
      <c r="Z75" s="65"/>
      <c r="AJ75" s="152"/>
      <c r="AK75" s="152"/>
      <c r="AL75" s="152"/>
      <c r="AM75" s="152"/>
      <c r="AN75" s="152"/>
    </row>
    <row r="76" spans="1:40" x14ac:dyDescent="0.25">
      <c r="A76" s="153"/>
      <c r="B76" s="161"/>
      <c r="C76" s="138"/>
      <c r="D76" s="704" t="s">
        <v>657</v>
      </c>
      <c r="E76" s="469">
        <f>E75-$D$75</f>
        <v>-9442.5714425839087</v>
      </c>
      <c r="F76" s="469">
        <f t="shared" ref="F76:I76" si="49">F75-$D$75</f>
        <v>-14277.168021186875</v>
      </c>
      <c r="G76" s="469">
        <f t="shared" si="49"/>
        <v>-19188.51382047516</v>
      </c>
      <c r="H76" s="469">
        <f t="shared" si="49"/>
        <v>-24177.527413798703</v>
      </c>
      <c r="I76" s="469">
        <f t="shared" si="49"/>
        <v>-29245.137159730908</v>
      </c>
      <c r="J76" s="153"/>
      <c r="K76" s="153"/>
      <c r="L76" s="708"/>
      <c r="M76" s="686">
        <f>M75-$L$75</f>
        <v>-494.88516930582261</v>
      </c>
      <c r="N76" s="686">
        <f t="shared" ref="N76:Q76" si="50">N75-$L$75</f>
        <v>-748.26637599040407</v>
      </c>
      <c r="O76" s="686">
        <f t="shared" si="50"/>
        <v>-1005.6700093311031</v>
      </c>
      <c r="P76" s="686">
        <f t="shared" si="50"/>
        <v>-1267.1442117571901</v>
      </c>
      <c r="Q76" s="686">
        <f t="shared" si="50"/>
        <v>-1532.7376385414968</v>
      </c>
      <c r="R76" s="65"/>
      <c r="S76" s="65"/>
      <c r="T76" s="65"/>
      <c r="U76" s="65"/>
      <c r="V76" s="65"/>
      <c r="W76" s="65"/>
      <c r="X76" s="65"/>
      <c r="Y76" s="65"/>
      <c r="Z76" s="65"/>
      <c r="AJ76" s="152"/>
      <c r="AK76" s="152"/>
      <c r="AL76" s="152"/>
      <c r="AM76" s="152"/>
      <c r="AN76" s="152"/>
    </row>
    <row r="77" spans="1:40" x14ac:dyDescent="0.25">
      <c r="A77" s="153"/>
      <c r="B77" s="153"/>
      <c r="C77" s="416"/>
      <c r="D77" s="417"/>
      <c r="E77" s="418"/>
      <c r="F77" s="418"/>
      <c r="G77" s="418"/>
      <c r="H77" s="418"/>
      <c r="I77" s="418"/>
      <c r="J77" s="153"/>
      <c r="K77" s="153"/>
      <c r="L77" s="419"/>
      <c r="M77" s="420"/>
      <c r="N77" s="420"/>
      <c r="O77" s="420"/>
      <c r="P77" s="420"/>
      <c r="Q77" s="420"/>
      <c r="R77" s="65"/>
      <c r="S77" s="65"/>
      <c r="T77" s="65"/>
      <c r="U77" s="65"/>
      <c r="V77" s="65"/>
      <c r="W77" s="65"/>
      <c r="X77" s="65"/>
      <c r="Y77" s="65"/>
      <c r="Z77" s="65"/>
      <c r="AJ77" s="152"/>
      <c r="AK77" s="152"/>
      <c r="AL77" s="152"/>
      <c r="AM77" s="152"/>
      <c r="AN77" s="152"/>
    </row>
    <row r="78" spans="1:40" x14ac:dyDescent="0.25">
      <c r="A78" s="153"/>
      <c r="B78" s="169"/>
      <c r="C78" s="115"/>
      <c r="D78" s="115"/>
      <c r="E78" s="115"/>
      <c r="F78" s="115"/>
      <c r="G78" s="115"/>
      <c r="H78" s="115"/>
      <c r="I78" s="115"/>
      <c r="J78" s="153"/>
      <c r="K78" s="153"/>
      <c r="L78" s="115"/>
      <c r="M78" s="115"/>
      <c r="N78" s="115"/>
      <c r="O78" s="115"/>
      <c r="P78" s="115"/>
      <c r="Q78" s="115"/>
      <c r="R78" s="65"/>
      <c r="S78" s="65"/>
      <c r="T78" s="65"/>
      <c r="U78" s="65"/>
      <c r="V78" s="65"/>
      <c r="W78" s="65"/>
      <c r="X78" s="65"/>
      <c r="Y78" s="65"/>
      <c r="Z78" s="65"/>
      <c r="AJ78" s="152"/>
      <c r="AK78" s="152"/>
      <c r="AL78" s="152"/>
      <c r="AM78" s="152"/>
      <c r="AN78" s="152"/>
    </row>
    <row r="79" spans="1:40" x14ac:dyDescent="0.25">
      <c r="A79" s="155"/>
      <c r="B79" s="170" t="s">
        <v>661</v>
      </c>
      <c r="C79" s="162"/>
      <c r="D79" s="163"/>
      <c r="E79" s="164"/>
      <c r="F79" s="165"/>
      <c r="G79" s="165"/>
      <c r="H79" s="165"/>
      <c r="I79" s="693"/>
      <c r="J79" s="209"/>
      <c r="K79" s="155"/>
      <c r="L79" s="155"/>
      <c r="M79" s="155"/>
      <c r="N79" s="155"/>
      <c r="O79" s="155"/>
      <c r="P79" s="155"/>
      <c r="Q79" s="155"/>
      <c r="R79" s="65"/>
      <c r="S79" s="65"/>
      <c r="T79" s="65"/>
      <c r="U79" s="65"/>
      <c r="V79" s="65"/>
      <c r="W79" s="65"/>
      <c r="X79" s="65"/>
      <c r="Y79" s="65"/>
      <c r="Z79" s="65"/>
      <c r="AJ79" s="152"/>
      <c r="AK79" s="152"/>
      <c r="AL79" s="152"/>
      <c r="AM79" s="152"/>
      <c r="AN79" s="152"/>
    </row>
    <row r="80" spans="1:40" x14ac:dyDescent="0.25">
      <c r="A80" s="155"/>
      <c r="B80" s="199" t="s">
        <v>662</v>
      </c>
      <c r="C80" s="200"/>
      <c r="D80" s="200"/>
      <c r="E80" s="200"/>
      <c r="F80" s="200"/>
      <c r="G80" s="200"/>
      <c r="H80" s="200"/>
      <c r="I80" s="709"/>
      <c r="J80" s="207"/>
      <c r="K80" s="207"/>
      <c r="L80" s="208"/>
      <c r="M80" s="208"/>
      <c r="N80" s="208"/>
      <c r="O80" s="208"/>
      <c r="P80" s="208"/>
      <c r="Q80" s="208"/>
      <c r="R80" s="65"/>
      <c r="S80" s="65"/>
      <c r="T80" s="65"/>
      <c r="U80" s="65"/>
      <c r="V80" s="65"/>
      <c r="W80" s="65"/>
      <c r="X80" s="65"/>
      <c r="Y80" s="65"/>
      <c r="Z80" s="65"/>
      <c r="AJ80" s="152"/>
      <c r="AK80" s="152"/>
      <c r="AL80" s="152"/>
      <c r="AM80" s="152"/>
      <c r="AN80" s="152"/>
    </row>
    <row r="81" spans="1:40" ht="45" x14ac:dyDescent="0.25">
      <c r="A81" s="155"/>
      <c r="B81" s="148" t="s">
        <v>505</v>
      </c>
      <c r="C81" s="506"/>
      <c r="D81" s="674" t="s">
        <v>643</v>
      </c>
      <c r="E81" s="662" t="s">
        <v>434</v>
      </c>
      <c r="F81" s="662" t="s">
        <v>435</v>
      </c>
      <c r="G81" s="612" t="s">
        <v>613</v>
      </c>
      <c r="H81" s="612" t="s">
        <v>614</v>
      </c>
      <c r="I81" s="662" t="s">
        <v>615</v>
      </c>
      <c r="J81" s="155"/>
      <c r="K81" s="698" t="s">
        <v>663</v>
      </c>
      <c r="L81" s="674" t="s">
        <v>643</v>
      </c>
      <c r="M81" s="662" t="s">
        <v>434</v>
      </c>
      <c r="N81" s="662" t="s">
        <v>435</v>
      </c>
      <c r="O81" s="612" t="s">
        <v>613</v>
      </c>
      <c r="P81" s="612" t="s">
        <v>614</v>
      </c>
      <c r="Q81" s="662" t="s">
        <v>615</v>
      </c>
      <c r="R81" s="65"/>
      <c r="S81" s="65"/>
      <c r="T81" s="65"/>
      <c r="U81" s="65"/>
      <c r="V81" s="65"/>
      <c r="W81" s="65"/>
      <c r="X81" s="65"/>
      <c r="Y81" s="65"/>
      <c r="Z81" s="65"/>
      <c r="AJ81" s="152"/>
      <c r="AK81" s="152"/>
      <c r="AL81" s="152"/>
      <c r="AM81" s="152"/>
      <c r="AN81" s="152"/>
    </row>
    <row r="82" spans="1:40" x14ac:dyDescent="0.25">
      <c r="A82" s="155"/>
      <c r="B82" s="135" t="s">
        <v>664</v>
      </c>
      <c r="C82" s="389"/>
      <c r="D82" s="608"/>
      <c r="E82" s="608">
        <f>-'Interventions inputs'!M86*'Unit costs'!$E$49</f>
        <v>-73.685788088765776</v>
      </c>
      <c r="F82" s="608">
        <f>-'Interventions inputs'!N86*'Unit costs'!$E$49</f>
        <v>-61.648477746584987</v>
      </c>
      <c r="G82" s="608">
        <f>-'Interventions inputs'!O86*'Unit costs'!$E$49</f>
        <v>-51.577582421902733</v>
      </c>
      <c r="H82" s="608">
        <f>-'Interventions inputs'!P86*'Unit costs'!$E$49</f>
        <v>-43.151868557460823</v>
      </c>
      <c r="I82" s="608">
        <f>-'Interventions inputs'!Q86*'Unit costs'!$E$49</f>
        <v>-36.10257930991402</v>
      </c>
      <c r="J82" s="155"/>
      <c r="K82" s="706">
        <f>'Unit costs'!I49</f>
        <v>231.20000000000002</v>
      </c>
      <c r="L82" s="690">
        <f>(D82*$K82)/1000</f>
        <v>0</v>
      </c>
      <c r="M82" s="690">
        <f t="shared" ref="M82:Q82" si="51">(E82*$K82)/1000</f>
        <v>-17.036154206122649</v>
      </c>
      <c r="N82" s="690">
        <f t="shared" si="51"/>
        <v>-14.25312805501045</v>
      </c>
      <c r="O82" s="690">
        <f t="shared" si="51"/>
        <v>-11.924737055943913</v>
      </c>
      <c r="P82" s="690">
        <f t="shared" si="51"/>
        <v>-9.9767120104849436</v>
      </c>
      <c r="Q82" s="690">
        <f t="shared" si="51"/>
        <v>-8.3469163364521233</v>
      </c>
      <c r="R82" s="65"/>
      <c r="S82" s="65"/>
      <c r="T82" s="65"/>
      <c r="U82" s="65"/>
      <c r="V82" s="65"/>
      <c r="W82" s="65"/>
      <c r="X82" s="65"/>
      <c r="Y82" s="65"/>
      <c r="Z82" s="65"/>
      <c r="AJ82" s="152"/>
      <c r="AK82" s="152"/>
      <c r="AL82" s="152"/>
      <c r="AM82" s="152"/>
      <c r="AN82" s="152"/>
    </row>
    <row r="83" spans="1:40" x14ac:dyDescent="0.25">
      <c r="A83" s="155"/>
      <c r="B83" s="149"/>
      <c r="C83" s="506"/>
      <c r="D83" s="469">
        <f t="shared" ref="D83:I83" si="52">SUM(D82:D82)</f>
        <v>0</v>
      </c>
      <c r="E83" s="469">
        <f t="shared" si="52"/>
        <v>-73.685788088765776</v>
      </c>
      <c r="F83" s="469">
        <f t="shared" si="52"/>
        <v>-61.648477746584987</v>
      </c>
      <c r="G83" s="469">
        <f t="shared" si="52"/>
        <v>-51.577582421902733</v>
      </c>
      <c r="H83" s="469">
        <f t="shared" si="52"/>
        <v>-43.151868557460823</v>
      </c>
      <c r="I83" s="469">
        <f t="shared" si="52"/>
        <v>-36.10257930991402</v>
      </c>
      <c r="J83" s="155"/>
      <c r="K83" s="155"/>
      <c r="L83" s="686">
        <f t="shared" ref="L83:Q83" si="53">SUM(L82:L82)</f>
        <v>0</v>
      </c>
      <c r="M83" s="686">
        <f t="shared" si="53"/>
        <v>-17.036154206122649</v>
      </c>
      <c r="N83" s="686">
        <f t="shared" si="53"/>
        <v>-14.25312805501045</v>
      </c>
      <c r="O83" s="686">
        <f t="shared" si="53"/>
        <v>-11.924737055943913</v>
      </c>
      <c r="P83" s="686">
        <f t="shared" si="53"/>
        <v>-9.9767120104849436</v>
      </c>
      <c r="Q83" s="686">
        <f t="shared" si="53"/>
        <v>-8.3469163364521233</v>
      </c>
      <c r="R83" s="65"/>
      <c r="S83" s="65"/>
      <c r="T83" s="65"/>
      <c r="U83" s="65"/>
      <c r="V83" s="65"/>
      <c r="W83" s="65"/>
      <c r="X83" s="65"/>
      <c r="Y83" s="65"/>
      <c r="Z83" s="65"/>
      <c r="AJ83" s="152"/>
      <c r="AK83" s="152"/>
      <c r="AL83" s="152"/>
      <c r="AM83" s="152"/>
      <c r="AN83" s="152"/>
    </row>
    <row r="84" spans="1:40" x14ac:dyDescent="0.25">
      <c r="A84" s="155"/>
      <c r="B84" s="161"/>
      <c r="C84" s="506"/>
      <c r="D84" s="704" t="s">
        <v>665</v>
      </c>
      <c r="E84" s="469">
        <f>E83-$D$83</f>
        <v>-73.685788088765776</v>
      </c>
      <c r="F84" s="469">
        <f>F83-$D$83</f>
        <v>-61.648477746584987</v>
      </c>
      <c r="G84" s="469">
        <f>G83-$D$83</f>
        <v>-51.577582421902733</v>
      </c>
      <c r="H84" s="469">
        <f>H83-$D$83</f>
        <v>-43.151868557460823</v>
      </c>
      <c r="I84" s="469">
        <f>I83-$D$83</f>
        <v>-36.10257930991402</v>
      </c>
      <c r="J84" s="155"/>
      <c r="K84" s="155"/>
      <c r="L84" s="710"/>
      <c r="M84" s="686">
        <f>M83-$L$83</f>
        <v>-17.036154206122649</v>
      </c>
      <c r="N84" s="686">
        <f t="shared" ref="N84:Q84" si="54">N83-$L$83</f>
        <v>-14.25312805501045</v>
      </c>
      <c r="O84" s="686">
        <f t="shared" si="54"/>
        <v>-11.924737055943913</v>
      </c>
      <c r="P84" s="686">
        <f t="shared" si="54"/>
        <v>-9.9767120104849436</v>
      </c>
      <c r="Q84" s="686">
        <f t="shared" si="54"/>
        <v>-8.3469163364521233</v>
      </c>
    </row>
    <row r="85" spans="1:40" x14ac:dyDescent="0.25">
      <c r="A85" s="155"/>
      <c r="B85" s="155"/>
      <c r="C85" s="155"/>
      <c r="D85" s="155"/>
      <c r="E85" s="155"/>
      <c r="F85" s="155"/>
      <c r="G85" s="155"/>
      <c r="H85" s="155"/>
      <c r="I85" s="155"/>
      <c r="J85" s="155"/>
      <c r="K85" s="155"/>
      <c r="L85" s="155"/>
      <c r="M85" s="155"/>
      <c r="N85" s="155"/>
      <c r="O85" s="155"/>
      <c r="P85" s="155"/>
      <c r="Q85" s="155"/>
    </row>
    <row r="86" spans="1:40" x14ac:dyDescent="0.25">
      <c r="A86" s="155"/>
      <c r="B86" s="170" t="s">
        <v>939</v>
      </c>
      <c r="C86" s="162"/>
      <c r="D86" s="163"/>
      <c r="E86" s="164"/>
      <c r="F86" s="165"/>
      <c r="G86" s="165"/>
      <c r="H86" s="165"/>
      <c r="I86" s="693"/>
      <c r="J86" s="209"/>
      <c r="K86" s="155"/>
      <c r="L86" s="155"/>
      <c r="M86" s="155"/>
      <c r="N86" s="155"/>
      <c r="O86" s="155"/>
      <c r="P86" s="155"/>
      <c r="Q86" s="155"/>
    </row>
    <row r="87" spans="1:40" x14ac:dyDescent="0.25">
      <c r="A87" s="155"/>
      <c r="B87" s="199" t="s">
        <v>662</v>
      </c>
      <c r="C87" s="200"/>
      <c r="D87" s="200"/>
      <c r="E87" s="200"/>
      <c r="F87" s="200"/>
      <c r="G87" s="200"/>
      <c r="H87" s="200"/>
      <c r="I87" s="709"/>
      <c r="J87" s="207"/>
      <c r="K87" s="207"/>
      <c r="L87" s="208"/>
      <c r="M87" s="208"/>
      <c r="N87" s="208"/>
      <c r="O87" s="208"/>
      <c r="P87" s="208"/>
      <c r="Q87" s="208"/>
    </row>
    <row r="88" spans="1:40" ht="45" x14ac:dyDescent="0.25">
      <c r="A88" s="155"/>
      <c r="B88" s="148" t="s">
        <v>505</v>
      </c>
      <c r="C88" s="506"/>
      <c r="D88" s="674" t="s">
        <v>643</v>
      </c>
      <c r="E88" s="662" t="s">
        <v>434</v>
      </c>
      <c r="F88" s="662" t="s">
        <v>435</v>
      </c>
      <c r="G88" s="612" t="s">
        <v>613</v>
      </c>
      <c r="H88" s="612" t="s">
        <v>614</v>
      </c>
      <c r="I88" s="662" t="s">
        <v>615</v>
      </c>
      <c r="J88" s="155"/>
      <c r="K88" s="698" t="s">
        <v>663</v>
      </c>
      <c r="L88" s="674" t="s">
        <v>643</v>
      </c>
      <c r="M88" s="662" t="s">
        <v>434</v>
      </c>
      <c r="N88" s="662" t="s">
        <v>435</v>
      </c>
      <c r="O88" s="612" t="s">
        <v>613</v>
      </c>
      <c r="P88" s="612" t="s">
        <v>614</v>
      </c>
      <c r="Q88" s="662" t="s">
        <v>615</v>
      </c>
    </row>
    <row r="89" spans="1:40" x14ac:dyDescent="0.25">
      <c r="A89" s="155"/>
      <c r="B89" s="135" t="s">
        <v>940</v>
      </c>
      <c r="C89" s="389"/>
      <c r="D89" s="608"/>
      <c r="E89" s="608">
        <f>-'Interventions inputs'!M92*'Unit costs'!$E$50</f>
        <v>-485.15684599004504</v>
      </c>
      <c r="F89" s="608">
        <f>-'Interventions inputs'!N92*'Unit costs'!$E$50</f>
        <v>-451.03984032907181</v>
      </c>
      <c r="G89" s="608">
        <f>-'Interventions inputs'!O92*'Unit costs'!$E$50</f>
        <v>-419.32199709338681</v>
      </c>
      <c r="H89" s="608">
        <f>-'Interventions inputs'!P92*'Unit costs'!$E$50</f>
        <v>-389.8346033425845</v>
      </c>
      <c r="I89" s="608">
        <f>-'Interventions inputs'!Q92*'Unit costs'!$E$50</f>
        <v>-362.42081030016863</v>
      </c>
      <c r="J89" s="155"/>
      <c r="K89" s="706">
        <f>'Unit costs'!I50</f>
        <v>145.6</v>
      </c>
      <c r="L89" s="690">
        <f>(D89*$K89)/1000</f>
        <v>0</v>
      </c>
      <c r="M89" s="690">
        <f t="shared" ref="M89:M90" si="55">(E89*$K89)/1000</f>
        <v>-70.638836776150555</v>
      </c>
      <c r="N89" s="690">
        <f t="shared" ref="N89:N90" si="56">(F89*$K89)/1000</f>
        <v>-65.671400751912856</v>
      </c>
      <c r="O89" s="690">
        <f t="shared" ref="O89:O90" si="57">(G89*$K89)/1000</f>
        <v>-61.053282776797118</v>
      </c>
      <c r="P89" s="690">
        <f t="shared" ref="P89:P90" si="58">(H89*$K89)/1000</f>
        <v>-56.7599182466803</v>
      </c>
      <c r="Q89" s="690">
        <f t="shared" ref="Q89:Q90" si="59">(I89*$K89)/1000</f>
        <v>-52.768469979704548</v>
      </c>
    </row>
    <row r="90" spans="1:40" x14ac:dyDescent="0.25">
      <c r="A90" s="155"/>
      <c r="B90" s="135" t="s">
        <v>1056</v>
      </c>
      <c r="C90" s="389"/>
      <c r="D90" s="608"/>
      <c r="E90" s="615">
        <f>-'Interventions inputs'!M95*'Unit costs'!$E$51</f>
        <v>0</v>
      </c>
      <c r="F90" s="615">
        <f>-'Interventions inputs'!N95*'Unit costs'!$E$51</f>
        <v>0</v>
      </c>
      <c r="G90" s="615">
        <f>-'Interventions inputs'!O95*'Unit costs'!$E$51</f>
        <v>0</v>
      </c>
      <c r="H90" s="615">
        <f>-'Interventions inputs'!P95*'Unit costs'!$E$51</f>
        <v>0</v>
      </c>
      <c r="I90" s="615">
        <f>-'Interventions inputs'!Q95*'Unit costs'!$E$51</f>
        <v>0</v>
      </c>
      <c r="J90" s="155"/>
      <c r="K90" s="706">
        <f>'Unit costs'!I51</f>
        <v>231.20000000000002</v>
      </c>
      <c r="L90" s="690">
        <f>(D90*$K90)/1000</f>
        <v>0</v>
      </c>
      <c r="M90" s="690">
        <f t="shared" si="55"/>
        <v>0</v>
      </c>
      <c r="N90" s="690">
        <f t="shared" si="56"/>
        <v>0</v>
      </c>
      <c r="O90" s="690">
        <f t="shared" si="57"/>
        <v>0</v>
      </c>
      <c r="P90" s="690">
        <f t="shared" si="58"/>
        <v>0</v>
      </c>
      <c r="Q90" s="690">
        <f t="shared" si="59"/>
        <v>0</v>
      </c>
    </row>
    <row r="91" spans="1:40" x14ac:dyDescent="0.25">
      <c r="A91" s="155"/>
      <c r="B91" s="149"/>
      <c r="C91" s="506"/>
      <c r="D91" s="469">
        <f>SUM(D89:D90)</f>
        <v>0</v>
      </c>
      <c r="E91" s="469">
        <f t="shared" ref="E91:I91" si="60">SUM(E89:E90)</f>
        <v>-485.15684599004504</v>
      </c>
      <c r="F91" s="469">
        <f t="shared" si="60"/>
        <v>-451.03984032907181</v>
      </c>
      <c r="G91" s="469">
        <f t="shared" si="60"/>
        <v>-419.32199709338681</v>
      </c>
      <c r="H91" s="469">
        <f t="shared" si="60"/>
        <v>-389.8346033425845</v>
      </c>
      <c r="I91" s="469">
        <f t="shared" si="60"/>
        <v>-362.42081030016863</v>
      </c>
      <c r="J91" s="155"/>
      <c r="K91" s="155"/>
      <c r="L91" s="686">
        <f>SUM(L89:L90)</f>
        <v>0</v>
      </c>
      <c r="M91" s="686">
        <f t="shared" ref="M91:Q91" si="61">SUM(M89:M90)</f>
        <v>-70.638836776150555</v>
      </c>
      <c r="N91" s="686">
        <f t="shared" si="61"/>
        <v>-65.671400751912856</v>
      </c>
      <c r="O91" s="686">
        <f t="shared" si="61"/>
        <v>-61.053282776797118</v>
      </c>
      <c r="P91" s="686">
        <f t="shared" si="61"/>
        <v>-56.7599182466803</v>
      </c>
      <c r="Q91" s="686">
        <f t="shared" si="61"/>
        <v>-52.768469979704548</v>
      </c>
    </row>
    <row r="92" spans="1:40" x14ac:dyDescent="0.25">
      <c r="A92" s="155"/>
      <c r="B92" s="161"/>
      <c r="C92" s="506"/>
      <c r="D92" s="704" t="s">
        <v>941</v>
      </c>
      <c r="E92" s="469">
        <f>E91-$D$91</f>
        <v>-485.15684599004504</v>
      </c>
      <c r="F92" s="469">
        <f t="shared" ref="F92:I92" si="62">F91-$D$91</f>
        <v>-451.03984032907181</v>
      </c>
      <c r="G92" s="469">
        <f t="shared" si="62"/>
        <v>-419.32199709338681</v>
      </c>
      <c r="H92" s="469">
        <f t="shared" si="62"/>
        <v>-389.8346033425845</v>
      </c>
      <c r="I92" s="469">
        <f t="shared" si="62"/>
        <v>-362.42081030016863</v>
      </c>
      <c r="J92" s="155"/>
      <c r="K92" s="155"/>
      <c r="L92" s="710"/>
      <c r="M92" s="686">
        <f>M91-$L$91</f>
        <v>-70.638836776150555</v>
      </c>
      <c r="N92" s="686">
        <f t="shared" ref="N92:Q92" si="63">N91-$L$91</f>
        <v>-65.671400751912856</v>
      </c>
      <c r="O92" s="686">
        <f t="shared" si="63"/>
        <v>-61.053282776797118</v>
      </c>
      <c r="P92" s="686">
        <f t="shared" si="63"/>
        <v>-56.7599182466803</v>
      </c>
      <c r="Q92" s="686">
        <f t="shared" si="63"/>
        <v>-52.768469979704548</v>
      </c>
    </row>
    <row r="93" spans="1:40" x14ac:dyDescent="0.25">
      <c r="A93" s="155"/>
      <c r="B93" s="155"/>
      <c r="C93" s="155"/>
      <c r="D93" s="155"/>
      <c r="E93" s="155"/>
      <c r="F93" s="155"/>
      <c r="G93" s="155"/>
      <c r="H93" s="155"/>
      <c r="I93" s="155"/>
      <c r="J93" s="155"/>
      <c r="K93" s="155"/>
      <c r="L93" s="155"/>
      <c r="M93" s="155"/>
      <c r="N93" s="155"/>
      <c r="O93" s="155"/>
      <c r="P93" s="155"/>
      <c r="Q93" s="155"/>
    </row>
  </sheetData>
  <sheetProtection algorithmName="SHA-512" hashValue="OgI9GTpkiPKWI1Ac4a2far45NqKkYVwZr3a8fKvrlaZY0aFYnuHaGQm2lyXWNKmO0AUp7lAOi3sRCx2Tgzk9ug==" saltValue="yLSSOY8u9bW8BTToilf+gQ==" spinCount="100000" sheet="1" objects="1" scenarios="1"/>
  <protectedRanges>
    <protectedRange sqref="B82 B89" name="Range1"/>
    <protectedRange sqref="E90:I90" name="Range2_1"/>
    <protectedRange sqref="B90" name="Range1_2"/>
  </protectedRanges>
  <pageMargins left="0.70866141732283472" right="0.70866141732283472" top="0.74803149606299213" bottom="0.74803149606299213" header="0.31496062992125984" footer="0.31496062992125984"/>
  <pageSetup paperSize="9" scale="34" fitToHeight="0" orientation="portrait" horizont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AAEFA-172F-4FDD-8968-A376C4A7D980}">
  <sheetPr>
    <tabColor theme="8" tint="-0.499984740745262"/>
    <pageSetUpPr fitToPage="1"/>
  </sheetPr>
  <dimension ref="A1:AN94"/>
  <sheetViews>
    <sheetView showGridLines="0" zoomScale="80" zoomScaleNormal="80" zoomScaleSheetLayoutView="30" workbookViewId="0">
      <selection activeCell="D81" sqref="D81"/>
    </sheetView>
  </sheetViews>
  <sheetFormatPr defaultColWidth="8.5703125" defaultRowHeight="15" x14ac:dyDescent="0.25"/>
  <cols>
    <col min="1" max="1" width="3.5703125" customWidth="1"/>
    <col min="2" max="2" width="56.5703125" style="1" customWidth="1"/>
    <col min="3" max="3" width="24.85546875" customWidth="1"/>
    <col min="4" max="9" width="12.5703125" customWidth="1"/>
    <col min="10" max="10" width="1.5703125" customWidth="1"/>
    <col min="11" max="18" width="11.5703125" customWidth="1"/>
    <col min="19" max="19" width="11.42578125" customWidth="1"/>
    <col min="20" max="20" width="11.5703125" customWidth="1"/>
    <col min="21" max="23" width="10.5703125" customWidth="1"/>
    <col min="24" max="24" width="20.85546875" customWidth="1"/>
    <col min="25" max="26" width="10.5703125" customWidth="1"/>
    <col min="28" max="41" width="0" hidden="1" customWidth="1"/>
  </cols>
  <sheetData>
    <row r="1" spans="1:40" ht="30" customHeight="1" x14ac:dyDescent="0.25">
      <c r="B1" s="264" t="str">
        <f>'Inputs and eligible population'!B1</f>
        <v>Asthma: diagnosis, monitoring and chronic asthma management</v>
      </c>
      <c r="C1" s="60"/>
      <c r="D1" s="60"/>
      <c r="F1" s="60"/>
      <c r="G1" s="60"/>
      <c r="H1" s="60"/>
      <c r="I1" s="60"/>
      <c r="J1" s="60"/>
      <c r="K1" s="60"/>
      <c r="L1" s="60"/>
      <c r="M1" s="60"/>
      <c r="N1" s="60"/>
      <c r="O1" s="60"/>
      <c r="P1" s="60"/>
      <c r="R1" s="60"/>
      <c r="S1" s="60"/>
      <c r="T1" s="60"/>
      <c r="U1" s="60"/>
      <c r="V1" s="60"/>
      <c r="W1" s="60"/>
      <c r="X1" s="60"/>
      <c r="Y1" s="60"/>
      <c r="Z1" s="60"/>
    </row>
    <row r="2" spans="1:40" ht="42.6" customHeight="1" x14ac:dyDescent="0.25">
      <c r="B2" s="114" t="s">
        <v>666</v>
      </c>
      <c r="C2" s="60" t="s">
        <v>494</v>
      </c>
      <c r="D2" s="60" t="s">
        <v>494</v>
      </c>
      <c r="E2" s="245"/>
      <c r="F2" s="60" t="s">
        <v>494</v>
      </c>
      <c r="G2" s="60" t="s">
        <v>494</v>
      </c>
      <c r="H2" s="60" t="s">
        <v>494</v>
      </c>
      <c r="I2" s="60" t="s">
        <v>494</v>
      </c>
      <c r="J2" s="60"/>
      <c r="K2" s="60"/>
      <c r="L2" s="60"/>
      <c r="M2" s="60"/>
      <c r="N2" s="60"/>
      <c r="O2" s="60"/>
      <c r="P2" s="60"/>
      <c r="Q2" s="60"/>
      <c r="R2" s="60"/>
      <c r="S2" s="60"/>
      <c r="T2" s="60"/>
      <c r="U2" s="60"/>
      <c r="V2" s="60"/>
      <c r="W2" s="60"/>
      <c r="X2" s="60"/>
      <c r="Y2" s="60"/>
      <c r="Z2" s="60"/>
    </row>
    <row r="3" spans="1:40" ht="14.85" customHeight="1" x14ac:dyDescent="0.25">
      <c r="B3" s="62" t="s">
        <v>494</v>
      </c>
      <c r="C3" s="65" t="s">
        <v>494</v>
      </c>
      <c r="D3" s="65" t="s">
        <v>494</v>
      </c>
      <c r="F3" s="65" t="s">
        <v>494</v>
      </c>
      <c r="G3" s="65" t="s">
        <v>494</v>
      </c>
      <c r="H3" s="65" t="s">
        <v>494</v>
      </c>
      <c r="I3" s="65" t="s">
        <v>494</v>
      </c>
      <c r="J3" s="60"/>
      <c r="K3" s="60"/>
      <c r="L3" s="60"/>
      <c r="M3" s="60"/>
      <c r="N3" s="60"/>
      <c r="O3" s="60"/>
      <c r="P3" s="60"/>
      <c r="Q3" s="65"/>
      <c r="R3" s="65"/>
      <c r="S3" s="65"/>
      <c r="T3" s="65"/>
      <c r="U3" s="65"/>
      <c r="V3" s="65"/>
      <c r="W3" s="65"/>
      <c r="X3" s="65"/>
      <c r="Y3" s="65"/>
      <c r="Z3" s="65"/>
    </row>
    <row r="4" spans="1:40" ht="14.85" customHeight="1" x14ac:dyDescent="0.25">
      <c r="B4" t="s">
        <v>648</v>
      </c>
      <c r="C4" s="65"/>
      <c r="D4" s="65"/>
      <c r="F4" s="65"/>
      <c r="G4" s="65"/>
      <c r="H4" s="65"/>
      <c r="I4" s="65"/>
      <c r="J4" s="65"/>
      <c r="K4" s="65"/>
      <c r="L4" s="65"/>
      <c r="M4" s="65"/>
      <c r="N4" s="65"/>
      <c r="O4" s="65"/>
      <c r="P4" s="65"/>
      <c r="Q4" s="65"/>
      <c r="R4" s="65"/>
      <c r="S4" s="65"/>
      <c r="T4" s="65"/>
      <c r="U4" s="65"/>
      <c r="V4" s="65"/>
      <c r="W4" s="65"/>
      <c r="X4" s="65"/>
      <c r="Y4" s="65"/>
      <c r="Z4" s="65"/>
    </row>
    <row r="5" spans="1:40" ht="14.85" customHeight="1" x14ac:dyDescent="0.25">
      <c r="B5" s="5"/>
      <c r="F5" s="65"/>
      <c r="G5" s="65"/>
      <c r="H5" s="65"/>
      <c r="I5" s="65"/>
      <c r="J5" s="65"/>
      <c r="K5" s="65"/>
      <c r="L5" s="65"/>
      <c r="M5" s="65"/>
      <c r="N5" s="65"/>
      <c r="O5" s="65"/>
      <c r="P5" s="65"/>
      <c r="Q5" s="65"/>
      <c r="R5" s="65"/>
      <c r="S5" s="65"/>
      <c r="T5" s="65"/>
      <c r="U5" s="65"/>
      <c r="V5" s="65"/>
      <c r="W5" s="65"/>
      <c r="X5" s="65"/>
      <c r="Y5" s="65"/>
      <c r="Z5" s="65"/>
    </row>
    <row r="6" spans="1:40" ht="45" x14ac:dyDescent="0.25">
      <c r="B6" s="139" t="s">
        <v>642</v>
      </c>
      <c r="C6" s="506"/>
      <c r="D6" s="674" t="s">
        <v>643</v>
      </c>
      <c r="E6" s="662" t="s">
        <v>434</v>
      </c>
      <c r="F6" s="662" t="s">
        <v>435</v>
      </c>
      <c r="G6" s="612" t="s">
        <v>613</v>
      </c>
      <c r="H6" s="612" t="s">
        <v>614</v>
      </c>
      <c r="I6" s="662" t="s">
        <v>615</v>
      </c>
      <c r="L6" s="674" t="s">
        <v>643</v>
      </c>
      <c r="M6" s="662" t="s">
        <v>434</v>
      </c>
      <c r="N6" s="662" t="s">
        <v>435</v>
      </c>
      <c r="O6" s="612" t="s">
        <v>613</v>
      </c>
      <c r="P6" s="612" t="s">
        <v>614</v>
      </c>
      <c r="Q6" s="662" t="s">
        <v>615</v>
      </c>
      <c r="R6" s="65"/>
      <c r="S6" s="65"/>
      <c r="T6" s="65"/>
      <c r="U6" s="65"/>
      <c r="V6" s="65"/>
      <c r="W6" s="65"/>
      <c r="X6" s="65"/>
      <c r="Y6" s="65"/>
      <c r="Z6" s="65"/>
      <c r="AJ6" s="152"/>
      <c r="AK6" s="152"/>
      <c r="AL6" s="152"/>
      <c r="AM6" s="152"/>
      <c r="AN6" s="152"/>
    </row>
    <row r="7" spans="1:40" x14ac:dyDescent="0.25">
      <c r="B7" s="118" t="s">
        <v>642</v>
      </c>
      <c r="C7" s="389"/>
      <c r="D7" s="665">
        <f>'Inputs and eligible population'!F50</f>
        <v>404754.16519999999</v>
      </c>
      <c r="E7" s="665">
        <f>'Inputs and eligible population'!G50</f>
        <v>407992.19852159999</v>
      </c>
      <c r="F7" s="665">
        <f>'Inputs and eligible population'!H50</f>
        <v>411256.13610977284</v>
      </c>
      <c r="G7" s="665">
        <f>'Inputs and eligible population'!I50</f>
        <v>414546.18519865104</v>
      </c>
      <c r="H7" s="665">
        <f>'Inputs and eligible population'!J50</f>
        <v>417862.55468024028</v>
      </c>
      <c r="I7" s="665">
        <f>'Inputs and eligible population'!K50</f>
        <v>421205.45511768217</v>
      </c>
      <c r="P7" s="65"/>
      <c r="Q7" s="65"/>
      <c r="R7" s="65"/>
      <c r="S7" s="65"/>
      <c r="T7" s="65"/>
      <c r="U7" s="65"/>
      <c r="V7" s="65"/>
      <c r="W7" s="65"/>
      <c r="X7" s="65"/>
      <c r="Y7" s="65"/>
      <c r="Z7" s="65"/>
      <c r="AJ7" s="152"/>
      <c r="AK7" s="152"/>
      <c r="AL7" s="152"/>
      <c r="AM7" s="152"/>
      <c r="AN7" s="152"/>
    </row>
    <row r="8" spans="1:40" x14ac:dyDescent="0.25">
      <c r="B8" s="183"/>
      <c r="D8" s="185"/>
      <c r="E8" s="185"/>
      <c r="F8" s="185"/>
      <c r="G8" s="185"/>
      <c r="H8" s="185"/>
      <c r="I8" s="185"/>
      <c r="P8" s="65"/>
      <c r="Q8" s="65"/>
      <c r="R8" s="65"/>
      <c r="S8" s="65"/>
      <c r="T8" s="65"/>
      <c r="U8" s="65"/>
      <c r="V8" s="65"/>
      <c r="W8" s="65"/>
      <c r="X8" s="65"/>
      <c r="Y8" s="65"/>
      <c r="Z8" s="65"/>
      <c r="AJ8" s="152"/>
      <c r="AK8" s="152"/>
      <c r="AL8" s="152"/>
      <c r="AM8" s="152"/>
      <c r="AN8" s="152"/>
    </row>
    <row r="9" spans="1:40" x14ac:dyDescent="0.25">
      <c r="B9" s="148" t="s">
        <v>649</v>
      </c>
      <c r="C9" s="210"/>
      <c r="D9" s="210"/>
      <c r="E9" s="211"/>
      <c r="F9" s="210"/>
      <c r="G9" s="212"/>
      <c r="H9" s="213"/>
      <c r="I9" s="687"/>
      <c r="L9" s="652" t="s">
        <v>622</v>
      </c>
      <c r="M9" s="652" t="s">
        <v>622</v>
      </c>
      <c r="N9" s="652" t="s">
        <v>622</v>
      </c>
      <c r="O9" s="652" t="s">
        <v>622</v>
      </c>
      <c r="P9" s="652" t="s">
        <v>622</v>
      </c>
      <c r="Q9" s="652" t="s">
        <v>622</v>
      </c>
      <c r="R9" s="65"/>
      <c r="S9" s="65"/>
      <c r="T9" s="65"/>
      <c r="U9" s="65"/>
      <c r="V9" s="65"/>
      <c r="W9" s="65"/>
      <c r="X9" s="65"/>
      <c r="Y9" s="65"/>
      <c r="Z9" s="65"/>
      <c r="AJ9" s="152"/>
      <c r="AK9" s="152"/>
      <c r="AL9" s="152"/>
      <c r="AM9" s="152"/>
      <c r="AN9" s="152"/>
    </row>
    <row r="10" spans="1:40" x14ac:dyDescent="0.25">
      <c r="A10" s="154"/>
      <c r="B10" s="277" t="str">
        <f>B22</f>
        <v>Specialty appointments attendances (bronchial challenge test second opinion)</v>
      </c>
      <c r="C10" s="688"/>
      <c r="D10" s="689">
        <f t="shared" ref="D10:I10" si="0">D25</f>
        <v>0</v>
      </c>
      <c r="E10" s="689">
        <f t="shared" si="0"/>
        <v>1844.5409275305185</v>
      </c>
      <c r="F10" s="689">
        <f t="shared" si="0"/>
        <v>2788.9458824261437</v>
      </c>
      <c r="G10" s="689">
        <f t="shared" si="0"/>
        <v>3748.3432659807386</v>
      </c>
      <c r="H10" s="689">
        <f t="shared" si="0"/>
        <v>3778.330012108584</v>
      </c>
      <c r="I10" s="689">
        <f t="shared" si="0"/>
        <v>3808.5566522054528</v>
      </c>
      <c r="L10" s="690">
        <f>L25</f>
        <v>0</v>
      </c>
      <c r="M10" s="690">
        <f t="shared" ref="M10:Q10" si="1">M25</f>
        <v>454.53683374883053</v>
      </c>
      <c r="N10" s="690">
        <f t="shared" si="1"/>
        <v>687.25969262823173</v>
      </c>
      <c r="O10" s="690">
        <f t="shared" si="1"/>
        <v>923.67702689234375</v>
      </c>
      <c r="P10" s="690">
        <f t="shared" si="1"/>
        <v>931.06644310748243</v>
      </c>
      <c r="Q10" s="690">
        <f t="shared" si="1"/>
        <v>938.51497465234229</v>
      </c>
      <c r="R10" s="65"/>
      <c r="S10" s="65"/>
      <c r="T10" s="65"/>
      <c r="U10" s="65"/>
      <c r="V10" s="65"/>
      <c r="W10" s="65"/>
      <c r="X10" s="65"/>
      <c r="Y10" s="65"/>
      <c r="Z10" s="65"/>
      <c r="AJ10" s="152"/>
      <c r="AK10" s="152"/>
      <c r="AL10" s="152"/>
      <c r="AM10" s="152"/>
      <c r="AN10" s="152"/>
    </row>
    <row r="11" spans="1:40" x14ac:dyDescent="0.25">
      <c r="A11" s="154"/>
      <c r="B11" s="277" t="str">
        <f>B28</f>
        <v>Specialty appointments hours and cost</v>
      </c>
      <c r="C11" s="688"/>
      <c r="D11" s="689">
        <f>D31</f>
        <v>0</v>
      </c>
      <c r="E11" s="689">
        <f t="shared" ref="E11:I11" si="2">E31</f>
        <v>2766.8113912957779</v>
      </c>
      <c r="F11" s="689">
        <f t="shared" si="2"/>
        <v>4183.4188236392156</v>
      </c>
      <c r="G11" s="689">
        <f t="shared" si="2"/>
        <v>5622.5148989711079</v>
      </c>
      <c r="H11" s="689">
        <f t="shared" si="2"/>
        <v>5667.4950181628765</v>
      </c>
      <c r="I11" s="689">
        <f t="shared" si="2"/>
        <v>5712.8349783081794</v>
      </c>
      <c r="L11" s="690"/>
      <c r="M11" s="690"/>
      <c r="N11" s="690"/>
      <c r="O11" s="690"/>
      <c r="P11" s="690"/>
      <c r="Q11" s="690"/>
      <c r="R11" s="65"/>
      <c r="S11" s="65"/>
      <c r="T11" s="65"/>
      <c r="U11" s="65"/>
      <c r="V11" s="65"/>
      <c r="W11" s="65"/>
      <c r="X11" s="65"/>
      <c r="Y11" s="65"/>
      <c r="Z11" s="65"/>
      <c r="AJ11" s="152"/>
      <c r="AK11" s="152"/>
      <c r="AL11" s="152"/>
      <c r="AM11" s="152"/>
      <c r="AN11" s="152"/>
    </row>
    <row r="12" spans="1:40" x14ac:dyDescent="0.25">
      <c r="A12" s="153"/>
      <c r="B12" s="214" t="str">
        <f>B35</f>
        <v>Primary care - number of asthma tests</v>
      </c>
      <c r="C12" s="436"/>
      <c r="D12" s="692">
        <f>D40</f>
        <v>393004.23311375163</v>
      </c>
      <c r="E12" s="692">
        <f t="shared" ref="E12:I12" si="3">E40</f>
        <v>396148.26697866165</v>
      </c>
      <c r="F12" s="692">
        <f t="shared" si="3"/>
        <v>399317.45311449096</v>
      </c>
      <c r="G12" s="692">
        <f t="shared" si="3"/>
        <v>402511.99273940688</v>
      </c>
      <c r="H12" s="692">
        <f t="shared" si="3"/>
        <v>405732.08868132217</v>
      </c>
      <c r="I12" s="692">
        <f t="shared" si="3"/>
        <v>408977.94539077271</v>
      </c>
      <c r="L12" s="744"/>
      <c r="M12" s="744"/>
      <c r="N12" s="744"/>
      <c r="O12" s="744"/>
      <c r="P12" s="744"/>
      <c r="Q12" s="744"/>
      <c r="R12" s="65"/>
      <c r="S12" s="65"/>
      <c r="T12" s="65"/>
      <c r="U12" s="65"/>
      <c r="V12" s="65"/>
      <c r="W12" s="65"/>
      <c r="X12" s="65"/>
      <c r="Y12" s="65"/>
      <c r="Z12" s="65"/>
      <c r="AJ12" s="152"/>
      <c r="AK12" s="152"/>
      <c r="AL12" s="152"/>
      <c r="AM12" s="152"/>
      <c r="AN12" s="152"/>
    </row>
    <row r="13" spans="1:40" x14ac:dyDescent="0.25">
      <c r="A13" s="153"/>
      <c r="B13" s="214" t="s">
        <v>749</v>
      </c>
      <c r="C13" s="436"/>
      <c r="D13" s="692">
        <f>D49</f>
        <v>158839.21088347462</v>
      </c>
      <c r="E13" s="692">
        <f t="shared" ref="E13:I13" si="4">E49</f>
        <v>159779.80101472687</v>
      </c>
      <c r="F13" s="692">
        <f t="shared" si="4"/>
        <v>160725.2748785826</v>
      </c>
      <c r="G13" s="692">
        <f t="shared" si="4"/>
        <v>161675.65041699511</v>
      </c>
      <c r="H13" s="692">
        <f t="shared" si="4"/>
        <v>162630.94554642998</v>
      </c>
      <c r="I13" s="692">
        <f t="shared" si="4"/>
        <v>163591.17815630909</v>
      </c>
      <c r="L13" s="744"/>
      <c r="M13" s="744"/>
      <c r="N13" s="744"/>
      <c r="O13" s="744"/>
      <c r="P13" s="744"/>
      <c r="Q13" s="744"/>
      <c r="R13" s="65"/>
      <c r="S13" s="65"/>
      <c r="T13" s="65"/>
      <c r="U13" s="65"/>
      <c r="V13" s="65"/>
      <c r="W13" s="65"/>
      <c r="X13" s="65"/>
      <c r="Y13" s="65"/>
      <c r="Z13" s="65"/>
      <c r="AJ13" s="152"/>
      <c r="AK13" s="152"/>
      <c r="AL13" s="152"/>
      <c r="AM13" s="152"/>
      <c r="AN13" s="152"/>
    </row>
    <row r="14" spans="1:40" x14ac:dyDescent="0.25">
      <c r="A14" s="153"/>
      <c r="B14" s="214" t="str">
        <f>B53</f>
        <v>Secondary care - number of asthma tests</v>
      </c>
      <c r="C14" s="436"/>
      <c r="D14" s="692">
        <f>D58</f>
        <v>32082.173350914622</v>
      </c>
      <c r="E14" s="692">
        <f t="shared" ref="E14:I14" si="5">E58</f>
        <v>32338.830737721939</v>
      </c>
      <c r="F14" s="692">
        <f t="shared" si="5"/>
        <v>32597.541383623717</v>
      </c>
      <c r="G14" s="692">
        <f t="shared" si="5"/>
        <v>32858.321714692705</v>
      </c>
      <c r="H14" s="692">
        <f t="shared" si="5"/>
        <v>33121.188288410252</v>
      </c>
      <c r="I14" s="692">
        <f t="shared" si="5"/>
        <v>33386.157794717532</v>
      </c>
      <c r="L14" s="690">
        <f>L58</f>
        <v>5748.6411128034779</v>
      </c>
      <c r="M14" s="690">
        <f t="shared" ref="M14:Q14" si="6">M58</f>
        <v>5794.6302417059051</v>
      </c>
      <c r="N14" s="690">
        <f t="shared" si="6"/>
        <v>5840.9872836395525</v>
      </c>
      <c r="O14" s="690">
        <f t="shared" si="6"/>
        <v>5887.7151819086685</v>
      </c>
      <c r="P14" s="690">
        <f t="shared" si="6"/>
        <v>5934.8169033639388</v>
      </c>
      <c r="Q14" s="690">
        <f t="shared" si="6"/>
        <v>5982.2954385908506</v>
      </c>
      <c r="R14" s="65"/>
      <c r="S14" s="65"/>
      <c r="T14" s="65"/>
      <c r="U14" s="65"/>
      <c r="V14" s="65"/>
      <c r="W14" s="65"/>
      <c r="X14" s="65"/>
      <c r="Y14" s="65"/>
      <c r="Z14" s="65"/>
      <c r="AJ14" s="152"/>
      <c r="AK14" s="152"/>
      <c r="AL14" s="152"/>
      <c r="AM14" s="152"/>
      <c r="AN14" s="152"/>
    </row>
    <row r="15" spans="1:40" x14ac:dyDescent="0.25">
      <c r="A15" s="153"/>
      <c r="B15" s="214" t="str">
        <f>B62</f>
        <v>Secondary care - hours required for test</v>
      </c>
      <c r="C15" s="436"/>
      <c r="D15" s="692">
        <f>D67</f>
        <v>11727.709082078327</v>
      </c>
      <c r="E15" s="692">
        <f t="shared" ref="E15:I15" si="7">E67</f>
        <v>11821.530754734955</v>
      </c>
      <c r="F15" s="692">
        <f t="shared" si="7"/>
        <v>11916.103000772837</v>
      </c>
      <c r="G15" s="692">
        <f t="shared" si="7"/>
        <v>12011.431824779018</v>
      </c>
      <c r="H15" s="692">
        <f t="shared" si="7"/>
        <v>12107.52327937725</v>
      </c>
      <c r="I15" s="692">
        <f t="shared" si="7"/>
        <v>12204.383465612269</v>
      </c>
      <c r="L15" s="690">
        <f>L67</f>
        <v>0</v>
      </c>
      <c r="M15" s="690">
        <f t="shared" ref="M15:Q15" si="8">M67</f>
        <v>0</v>
      </c>
      <c r="N15" s="690">
        <f t="shared" si="8"/>
        <v>0</v>
      </c>
      <c r="O15" s="690">
        <f t="shared" si="8"/>
        <v>0</v>
      </c>
      <c r="P15" s="690">
        <f t="shared" si="8"/>
        <v>0</v>
      </c>
      <c r="Q15" s="690">
        <f t="shared" si="8"/>
        <v>0</v>
      </c>
      <c r="R15" s="65"/>
      <c r="S15" s="65"/>
      <c r="T15" s="65"/>
      <c r="U15" s="65"/>
      <c r="V15" s="65"/>
      <c r="W15" s="65"/>
      <c r="X15" s="65"/>
      <c r="Y15" s="65"/>
      <c r="Z15" s="65"/>
      <c r="AJ15" s="152"/>
      <c r="AK15" s="152"/>
      <c r="AL15" s="152"/>
      <c r="AM15" s="152"/>
      <c r="AN15" s="152"/>
    </row>
    <row r="16" spans="1:40" ht="30" x14ac:dyDescent="0.25">
      <c r="A16" s="153"/>
      <c r="B16" s="214" t="str">
        <f>B71</f>
        <v>Nursing staffing - reduced use of PEF test for monitoring (primary care)</v>
      </c>
      <c r="C16" s="436"/>
      <c r="D16" s="692">
        <f>D75</f>
        <v>0</v>
      </c>
      <c r="E16" s="692">
        <f t="shared" ref="E16:I16" si="9">E75</f>
        <v>-37770.285770335642</v>
      </c>
      <c r="F16" s="692">
        <f t="shared" si="9"/>
        <v>-57108.672084747501</v>
      </c>
      <c r="G16" s="692">
        <f t="shared" si="9"/>
        <v>-76754.055281900641</v>
      </c>
      <c r="H16" s="692">
        <f t="shared" si="9"/>
        <v>-96710.109655194814</v>
      </c>
      <c r="I16" s="692">
        <f t="shared" si="9"/>
        <v>-116980.54863892363</v>
      </c>
      <c r="L16" s="690">
        <f>L75</f>
        <v>0</v>
      </c>
      <c r="M16" s="690">
        <f t="shared" ref="M16:Q16" si="10">M75</f>
        <v>0</v>
      </c>
      <c r="N16" s="690">
        <f t="shared" si="10"/>
        <v>0</v>
      </c>
      <c r="O16" s="690">
        <f t="shared" si="10"/>
        <v>0</v>
      </c>
      <c r="P16" s="690">
        <f t="shared" si="10"/>
        <v>0</v>
      </c>
      <c r="Q16" s="690">
        <f t="shared" si="10"/>
        <v>0</v>
      </c>
      <c r="R16" s="65"/>
      <c r="S16" s="65"/>
      <c r="T16" s="65"/>
      <c r="U16" s="65"/>
      <c r="V16" s="65"/>
      <c r="W16" s="65"/>
      <c r="X16" s="65"/>
      <c r="Y16" s="65"/>
      <c r="Z16" s="65"/>
      <c r="AJ16" s="152"/>
      <c r="AK16" s="152"/>
      <c r="AL16" s="152"/>
      <c r="AM16" s="152"/>
      <c r="AN16" s="152"/>
    </row>
    <row r="17" spans="1:40" x14ac:dyDescent="0.25">
      <c r="A17" s="155"/>
      <c r="B17" s="215" t="str">
        <f>B80</f>
        <v>Adverse events - reduced exacerbations - FeNO monitoring (bed days released)</v>
      </c>
      <c r="C17" s="693"/>
      <c r="D17" s="694">
        <f t="shared" ref="D17:I17" si="11">D84</f>
        <v>0</v>
      </c>
      <c r="E17" s="694">
        <f t="shared" si="11"/>
        <v>-73.685788088765776</v>
      </c>
      <c r="F17" s="694">
        <f t="shared" si="11"/>
        <v>-61.648477746584987</v>
      </c>
      <c r="G17" s="694">
        <f t="shared" si="11"/>
        <v>-51.577582421902733</v>
      </c>
      <c r="H17" s="694">
        <f t="shared" si="11"/>
        <v>-43.151868557460823</v>
      </c>
      <c r="I17" s="694">
        <f t="shared" si="11"/>
        <v>-36.10257930991402</v>
      </c>
      <c r="J17" s="65"/>
      <c r="K17" s="65"/>
      <c r="L17" s="690">
        <f>L84</f>
        <v>0</v>
      </c>
      <c r="M17" s="690">
        <f>M84</f>
        <v>-21.295192757653307</v>
      </c>
      <c r="N17" s="690">
        <f t="shared" ref="N17:Q17" si="12">N84</f>
        <v>-17.816410068763059</v>
      </c>
      <c r="O17" s="690">
        <f t="shared" si="12"/>
        <v>-14.90592131992989</v>
      </c>
      <c r="P17" s="690">
        <f t="shared" si="12"/>
        <v>-12.470890013106178</v>
      </c>
      <c r="Q17" s="690">
        <f t="shared" si="12"/>
        <v>-10.433645420565151</v>
      </c>
      <c r="R17" s="65"/>
      <c r="S17" s="65"/>
      <c r="T17" s="65"/>
      <c r="U17" s="65"/>
      <c r="V17" s="65"/>
      <c r="W17" s="65"/>
      <c r="X17" s="65"/>
      <c r="Y17" s="65"/>
      <c r="Z17" s="65"/>
    </row>
    <row r="18" spans="1:40" x14ac:dyDescent="0.25">
      <c r="A18" s="155"/>
      <c r="B18" s="215" t="str">
        <f>B87</f>
        <v>Adverse events - reduced A&amp;E attendances - MART approach</v>
      </c>
      <c r="C18" s="693"/>
      <c r="D18" s="694">
        <f>D92</f>
        <v>0</v>
      </c>
      <c r="E18" s="694">
        <f t="shared" ref="E18:I18" si="13">E92</f>
        <v>-485.15684599004504</v>
      </c>
      <c r="F18" s="694">
        <f t="shared" si="13"/>
        <v>-451.03984032907181</v>
      </c>
      <c r="G18" s="694">
        <f t="shared" si="13"/>
        <v>-419.32199709338681</v>
      </c>
      <c r="H18" s="694">
        <f t="shared" si="13"/>
        <v>-389.8346033425845</v>
      </c>
      <c r="I18" s="694">
        <f t="shared" si="13"/>
        <v>-362.42081030016863</v>
      </c>
      <c r="J18" s="65"/>
      <c r="K18" s="65"/>
      <c r="L18" s="690">
        <f>L92</f>
        <v>0</v>
      </c>
      <c r="M18" s="690">
        <f t="shared" ref="M18:Q18" si="14">M92</f>
        <v>-88.298545970188187</v>
      </c>
      <c r="N18" s="690">
        <f t="shared" si="14"/>
        <v>-82.089250939891059</v>
      </c>
      <c r="O18" s="690">
        <f t="shared" si="14"/>
        <v>-76.316603470996398</v>
      </c>
      <c r="P18" s="690">
        <f t="shared" si="14"/>
        <v>-70.949897808350372</v>
      </c>
      <c r="Q18" s="690">
        <f t="shared" si="14"/>
        <v>-65.960587474630699</v>
      </c>
      <c r="R18" s="65"/>
      <c r="S18" s="65"/>
      <c r="T18" s="65"/>
      <c r="U18" s="65"/>
      <c r="V18" s="65"/>
      <c r="W18" s="65"/>
      <c r="X18" s="65"/>
      <c r="Y18" s="65"/>
      <c r="Z18" s="65"/>
    </row>
    <row r="19" spans="1:40" x14ac:dyDescent="0.25">
      <c r="B19" s="842"/>
      <c r="C19" s="483"/>
      <c r="D19" s="843"/>
      <c r="E19" s="843"/>
      <c r="F19" s="843"/>
      <c r="G19" s="843"/>
      <c r="H19" s="843"/>
      <c r="I19" s="843"/>
      <c r="J19" s="65"/>
      <c r="K19" s="65"/>
      <c r="L19" s="686">
        <f>SUM(L10:L18)</f>
        <v>5748.6411128034779</v>
      </c>
      <c r="M19" s="686">
        <f t="shared" ref="M19:Q19" si="15">SUM(M10:M18)</f>
        <v>6139.573336726894</v>
      </c>
      <c r="N19" s="686">
        <f t="shared" si="15"/>
        <v>6428.3413152591311</v>
      </c>
      <c r="O19" s="686">
        <f t="shared" si="15"/>
        <v>6720.1696840100858</v>
      </c>
      <c r="P19" s="686">
        <f t="shared" si="15"/>
        <v>6782.4625586499642</v>
      </c>
      <c r="Q19" s="686">
        <f t="shared" si="15"/>
        <v>6844.4161803479974</v>
      </c>
      <c r="R19" s="65"/>
      <c r="S19" s="65"/>
      <c r="T19" s="65"/>
      <c r="U19" s="65"/>
      <c r="V19" s="65"/>
      <c r="W19" s="65"/>
      <c r="X19" s="65"/>
      <c r="Y19" s="65"/>
      <c r="Z19" s="65"/>
    </row>
    <row r="20" spans="1:40" x14ac:dyDescent="0.25">
      <c r="B20" s="167"/>
      <c r="C20" s="167"/>
      <c r="D20" s="167"/>
      <c r="E20" s="167"/>
      <c r="F20" s="167"/>
      <c r="G20" s="167"/>
      <c r="H20" s="167"/>
      <c r="I20" s="167"/>
      <c r="J20" s="167"/>
      <c r="K20" s="167"/>
      <c r="L20" s="167"/>
      <c r="P20" s="65"/>
      <c r="Q20" s="65"/>
      <c r="R20" s="65"/>
      <c r="S20" s="65"/>
      <c r="V20" s="65"/>
      <c r="W20" s="65"/>
      <c r="X20" s="65"/>
      <c r="Y20" s="65"/>
      <c r="Z20" s="65"/>
      <c r="AJ20" s="152"/>
      <c r="AK20" s="152"/>
      <c r="AL20" s="152"/>
      <c r="AM20" s="152"/>
      <c r="AN20" s="152"/>
    </row>
    <row r="21" spans="1:40" x14ac:dyDescent="0.25">
      <c r="B21" s="188" t="s">
        <v>650</v>
      </c>
      <c r="C21" s="189"/>
      <c r="D21" s="189"/>
      <c r="E21" s="190"/>
      <c r="F21" s="189"/>
      <c r="G21" s="191"/>
      <c r="H21" s="192"/>
      <c r="I21" s="192"/>
      <c r="J21" s="192"/>
      <c r="K21" s="192"/>
      <c r="L21" s="192"/>
      <c r="M21" s="192"/>
      <c r="N21" s="192"/>
      <c r="O21" s="192"/>
      <c r="P21" s="192"/>
      <c r="Q21" s="695"/>
      <c r="R21" s="65"/>
      <c r="S21" s="65"/>
      <c r="T21" s="65"/>
      <c r="U21" s="65"/>
      <c r="V21" s="65"/>
      <c r="W21" s="65"/>
      <c r="X21" s="65"/>
      <c r="Y21" s="65"/>
      <c r="Z21" s="65"/>
      <c r="AJ21" s="152"/>
      <c r="AK21" s="152"/>
      <c r="AL21" s="152"/>
      <c r="AM21" s="152"/>
      <c r="AN21" s="152"/>
    </row>
    <row r="22" spans="1:40" x14ac:dyDescent="0.25">
      <c r="A22" s="154"/>
      <c r="B22" s="467" t="s">
        <v>797</v>
      </c>
      <c r="C22" s="198"/>
      <c r="D22" s="198"/>
      <c r="E22" s="198"/>
      <c r="F22" s="198"/>
      <c r="G22" s="198"/>
      <c r="H22" s="198"/>
      <c r="I22" s="696"/>
      <c r="J22" s="116"/>
      <c r="K22" s="116"/>
      <c r="L22" s="116"/>
      <c r="M22" s="116"/>
      <c r="N22" s="116"/>
      <c r="O22" s="116"/>
      <c r="P22" s="116"/>
      <c r="Q22" s="116"/>
      <c r="R22" s="65"/>
      <c r="S22" s="65"/>
      <c r="T22" s="65"/>
      <c r="U22" s="65"/>
      <c r="V22" s="65"/>
      <c r="W22" s="65"/>
      <c r="X22" s="65"/>
      <c r="Y22" s="65"/>
      <c r="Z22" s="65"/>
      <c r="AJ22" s="152"/>
      <c r="AK22" s="152"/>
      <c r="AL22" s="152"/>
      <c r="AM22" s="152"/>
      <c r="AN22" s="152"/>
    </row>
    <row r="23" spans="1:40" ht="45" x14ac:dyDescent="0.25">
      <c r="A23" s="154"/>
      <c r="B23" s="667" t="s">
        <v>505</v>
      </c>
      <c r="C23" s="697" t="s">
        <v>654</v>
      </c>
      <c r="D23" s="674" t="s">
        <v>643</v>
      </c>
      <c r="E23" s="662" t="s">
        <v>434</v>
      </c>
      <c r="F23" s="662" t="s">
        <v>435</v>
      </c>
      <c r="G23" s="612" t="s">
        <v>613</v>
      </c>
      <c r="H23" s="612" t="s">
        <v>614</v>
      </c>
      <c r="I23" s="662" t="s">
        <v>615</v>
      </c>
      <c r="J23" s="116"/>
      <c r="K23" s="698" t="s">
        <v>508</v>
      </c>
      <c r="L23" s="674" t="s">
        <v>643</v>
      </c>
      <c r="M23" s="699" t="s">
        <v>434</v>
      </c>
      <c r="N23" s="699" t="s">
        <v>435</v>
      </c>
      <c r="O23" s="700" t="s">
        <v>613</v>
      </c>
      <c r="P23" s="700" t="s">
        <v>614</v>
      </c>
      <c r="Q23" s="699" t="s">
        <v>615</v>
      </c>
      <c r="R23" s="65"/>
      <c r="S23" s="65"/>
      <c r="T23" s="65"/>
      <c r="U23" s="65"/>
      <c r="V23" s="65"/>
      <c r="W23" s="65"/>
      <c r="X23" s="65"/>
      <c r="Y23" s="65"/>
      <c r="Z23" s="65"/>
      <c r="AJ23" s="152"/>
      <c r="AK23" s="152"/>
      <c r="AL23" s="152"/>
      <c r="AM23" s="152"/>
      <c r="AN23" s="152"/>
    </row>
    <row r="24" spans="1:40" x14ac:dyDescent="0.25">
      <c r="A24" s="154"/>
      <c r="B24" s="178" t="s">
        <v>796</v>
      </c>
      <c r="C24" s="475">
        <f>'Inputs and eligible population'!F65</f>
        <v>1</v>
      </c>
      <c r="D24" s="608">
        <f>'Financial impact (cash)'!D22*'Capacity (local prices)'!$C24</f>
        <v>0</v>
      </c>
      <c r="E24" s="608">
        <f>'Financial impact (cash)'!E22*'Capacity (local prices)'!$C24</f>
        <v>1844.5409275305185</v>
      </c>
      <c r="F24" s="608">
        <f>'Financial impact (cash)'!F22*'Capacity (local prices)'!$C24</f>
        <v>2788.9458824261437</v>
      </c>
      <c r="G24" s="608">
        <f>'Financial impact (cash)'!G22*'Capacity (local prices)'!$C24</f>
        <v>3748.3432659807386</v>
      </c>
      <c r="H24" s="608">
        <f>'Financial impact (cash)'!H22*'Capacity (local prices)'!$C24</f>
        <v>3778.330012108584</v>
      </c>
      <c r="I24" s="608">
        <f>'Financial impact (cash)'!I22*'Capacity (local prices)'!$C24</f>
        <v>3808.5566522054528</v>
      </c>
      <c r="J24" s="116"/>
      <c r="K24" s="701">
        <f>'Unit costs'!N41</f>
        <v>246.42274235539296</v>
      </c>
      <c r="L24" s="702">
        <f>$K24/1000*D24</f>
        <v>0</v>
      </c>
      <c r="M24" s="702">
        <f t="shared" ref="M24:Q24" si="16">$K24/1000*E24</f>
        <v>454.53683374883053</v>
      </c>
      <c r="N24" s="702">
        <f t="shared" si="16"/>
        <v>687.25969262823173</v>
      </c>
      <c r="O24" s="702">
        <f t="shared" si="16"/>
        <v>923.67702689234375</v>
      </c>
      <c r="P24" s="702">
        <f t="shared" si="16"/>
        <v>931.06644310748243</v>
      </c>
      <c r="Q24" s="702">
        <f t="shared" si="16"/>
        <v>938.51497465234229</v>
      </c>
      <c r="R24" s="65"/>
      <c r="S24" s="65"/>
      <c r="T24" s="65"/>
      <c r="U24" s="65"/>
      <c r="V24" s="65"/>
      <c r="W24" s="65"/>
      <c r="X24" s="65"/>
      <c r="Y24" s="65"/>
      <c r="Z24" s="65"/>
      <c r="AJ24" s="152"/>
      <c r="AK24" s="152"/>
      <c r="AL24" s="152"/>
      <c r="AM24" s="152"/>
      <c r="AN24" s="152"/>
    </row>
    <row r="25" spans="1:40" x14ac:dyDescent="0.25">
      <c r="A25" s="266"/>
      <c r="B25" s="257"/>
      <c r="C25" s="703"/>
      <c r="D25" s="469">
        <f t="shared" ref="D25:I25" si="17">SUM(D24:D24)</f>
        <v>0</v>
      </c>
      <c r="E25" s="469">
        <f t="shared" si="17"/>
        <v>1844.5409275305185</v>
      </c>
      <c r="F25" s="469">
        <f t="shared" si="17"/>
        <v>2788.9458824261437</v>
      </c>
      <c r="G25" s="469">
        <f t="shared" si="17"/>
        <v>3748.3432659807386</v>
      </c>
      <c r="H25" s="469">
        <f t="shared" si="17"/>
        <v>3778.330012108584</v>
      </c>
      <c r="I25" s="469">
        <f t="shared" si="17"/>
        <v>3808.5566522054528</v>
      </c>
      <c r="J25" s="272"/>
      <c r="K25" s="116"/>
      <c r="L25" s="466">
        <f t="shared" ref="L25:Q25" si="18">SUM(L24:L24)</f>
        <v>0</v>
      </c>
      <c r="M25" s="466">
        <f t="shared" si="18"/>
        <v>454.53683374883053</v>
      </c>
      <c r="N25" s="466">
        <f t="shared" si="18"/>
        <v>687.25969262823173</v>
      </c>
      <c r="O25" s="466">
        <f t="shared" si="18"/>
        <v>923.67702689234375</v>
      </c>
      <c r="P25" s="466">
        <f t="shared" si="18"/>
        <v>931.06644310748243</v>
      </c>
      <c r="Q25" s="466">
        <f t="shared" si="18"/>
        <v>938.51497465234229</v>
      </c>
      <c r="R25" s="65"/>
      <c r="S25" s="65"/>
      <c r="T25" s="65"/>
      <c r="U25" s="65"/>
      <c r="V25" s="65"/>
      <c r="W25" s="65"/>
      <c r="X25" s="65"/>
      <c r="Y25" s="65"/>
      <c r="Z25" s="65"/>
      <c r="AJ25" s="152"/>
      <c r="AK25" s="152"/>
      <c r="AL25" s="152"/>
      <c r="AM25" s="152"/>
      <c r="AN25" s="152"/>
    </row>
    <row r="26" spans="1:40" x14ac:dyDescent="0.25">
      <c r="A26" s="266"/>
      <c r="B26" s="138"/>
      <c r="C26" s="138"/>
      <c r="D26" s="704" t="s">
        <v>655</v>
      </c>
      <c r="E26" s="469">
        <f>E25-$D$25</f>
        <v>1844.5409275305185</v>
      </c>
      <c r="F26" s="469">
        <f>F25-$D$25</f>
        <v>2788.9458824261437</v>
      </c>
      <c r="G26" s="469">
        <f>G25-$D$25</f>
        <v>3748.3432659807386</v>
      </c>
      <c r="H26" s="469">
        <f>H25-$D$25</f>
        <v>3778.330012108584</v>
      </c>
      <c r="I26" s="469">
        <f>I25-$D$25</f>
        <v>3808.5566522054528</v>
      </c>
      <c r="J26" s="272"/>
      <c r="K26" s="116"/>
      <c r="L26" s="116"/>
      <c r="M26" s="466">
        <f>M25-$L25</f>
        <v>454.53683374883053</v>
      </c>
      <c r="N26" s="466">
        <f>N25-$L25</f>
        <v>687.25969262823173</v>
      </c>
      <c r="O26" s="466">
        <f>O25-$L25</f>
        <v>923.67702689234375</v>
      </c>
      <c r="P26" s="466">
        <f>P25-$L25</f>
        <v>931.06644310748243</v>
      </c>
      <c r="Q26" s="466">
        <f>Q25-$L25</f>
        <v>938.51497465234229</v>
      </c>
      <c r="R26" s="65"/>
      <c r="S26" s="65"/>
      <c r="T26" s="65"/>
      <c r="U26" s="65"/>
      <c r="V26" s="65"/>
      <c r="W26" s="65"/>
      <c r="X26" s="65"/>
      <c r="Y26" s="65"/>
      <c r="Z26" s="65"/>
      <c r="AJ26" s="152"/>
      <c r="AK26" s="152"/>
      <c r="AL26" s="152"/>
      <c r="AM26" s="152"/>
      <c r="AN26" s="152"/>
    </row>
    <row r="27" spans="1:40" x14ac:dyDescent="0.25">
      <c r="A27" s="154"/>
      <c r="B27" s="267"/>
      <c r="C27" s="268"/>
      <c r="D27" s="269"/>
      <c r="E27" s="270"/>
      <c r="F27" s="154"/>
      <c r="G27" s="154"/>
      <c r="H27" s="154"/>
      <c r="I27" s="154"/>
      <c r="J27" s="116"/>
      <c r="K27" s="116"/>
      <c r="L27" s="116"/>
      <c r="M27" s="116"/>
      <c r="N27" s="116"/>
      <c r="O27" s="116"/>
      <c r="P27" s="116"/>
      <c r="Q27" s="116"/>
      <c r="R27" s="65"/>
      <c r="S27" s="65"/>
      <c r="T27" s="65"/>
      <c r="U27" s="65"/>
      <c r="V27" s="65"/>
      <c r="W27" s="65"/>
      <c r="X27" s="65"/>
      <c r="Y27" s="65"/>
      <c r="Z27" s="65"/>
      <c r="AJ27" s="152"/>
      <c r="AK27" s="152"/>
      <c r="AL27" s="152"/>
      <c r="AM27" s="152"/>
      <c r="AN27" s="152"/>
    </row>
    <row r="28" spans="1:40" x14ac:dyDescent="0.25">
      <c r="A28" s="266"/>
      <c r="B28" s="271" t="s">
        <v>651</v>
      </c>
      <c r="C28" s="198"/>
      <c r="D28" s="198"/>
      <c r="E28" s="198"/>
      <c r="F28" s="198"/>
      <c r="G28" s="198"/>
      <c r="H28" s="198"/>
      <c r="I28" s="696"/>
      <c r="J28" s="116"/>
      <c r="K28" s="116"/>
      <c r="L28" s="116"/>
      <c r="M28" s="116"/>
      <c r="N28" s="116"/>
      <c r="O28" s="116"/>
      <c r="P28" s="116"/>
      <c r="Q28" s="116"/>
      <c r="R28" s="65"/>
      <c r="S28" s="65"/>
      <c r="T28" s="65"/>
      <c r="U28" s="65"/>
      <c r="V28" s="65"/>
      <c r="W28" s="65"/>
      <c r="X28" s="65"/>
      <c r="Y28" s="65"/>
      <c r="Z28" s="65"/>
      <c r="AJ28" s="152"/>
      <c r="AK28" s="152"/>
      <c r="AL28" s="152"/>
      <c r="AM28" s="152"/>
      <c r="AN28" s="152"/>
    </row>
    <row r="29" spans="1:40" ht="45" x14ac:dyDescent="0.25">
      <c r="A29" s="266"/>
      <c r="B29" s="166" t="s">
        <v>505</v>
      </c>
      <c r="C29" s="697" t="s">
        <v>652</v>
      </c>
      <c r="D29" s="674" t="s">
        <v>643</v>
      </c>
      <c r="E29" s="662" t="s">
        <v>434</v>
      </c>
      <c r="F29" s="662" t="s">
        <v>435</v>
      </c>
      <c r="G29" s="612" t="s">
        <v>613</v>
      </c>
      <c r="H29" s="612" t="s">
        <v>614</v>
      </c>
      <c r="I29" s="662" t="s">
        <v>615</v>
      </c>
      <c r="J29" s="272"/>
      <c r="K29" s="698" t="s">
        <v>653</v>
      </c>
      <c r="L29" s="674" t="s">
        <v>643</v>
      </c>
      <c r="M29" s="699" t="s">
        <v>434</v>
      </c>
      <c r="N29" s="699" t="s">
        <v>435</v>
      </c>
      <c r="O29" s="700" t="s">
        <v>613</v>
      </c>
      <c r="P29" s="700" t="s">
        <v>614</v>
      </c>
      <c r="Q29" s="699" t="s">
        <v>615</v>
      </c>
      <c r="R29" s="65"/>
      <c r="S29" s="65"/>
      <c r="T29" s="65"/>
      <c r="U29" s="65"/>
      <c r="V29" s="65"/>
      <c r="W29" s="65"/>
      <c r="X29" s="65"/>
      <c r="Y29" s="65"/>
      <c r="Z29" s="65"/>
      <c r="AJ29" s="152"/>
      <c r="AK29" s="152"/>
      <c r="AL29" s="152"/>
      <c r="AM29" s="152"/>
      <c r="AN29" s="152"/>
    </row>
    <row r="30" spans="1:40" ht="24.6" customHeight="1" x14ac:dyDescent="0.25">
      <c r="A30" s="266"/>
      <c r="B30" s="178" t="s">
        <v>796</v>
      </c>
      <c r="C30" s="475">
        <f>'Inputs and eligible population'!H65</f>
        <v>90</v>
      </c>
      <c r="D30" s="608">
        <f>'Financial impact (cash)'!D22*$C$30/60</f>
        <v>0</v>
      </c>
      <c r="E30" s="608">
        <f>'Financial impact (cash)'!E22*$C$30/60</f>
        <v>2766.8113912957779</v>
      </c>
      <c r="F30" s="608">
        <f>'Financial impact (cash)'!F22*$C$30/60</f>
        <v>4183.4188236392156</v>
      </c>
      <c r="G30" s="608">
        <f>'Financial impact (cash)'!G22*$C$30/60</f>
        <v>5622.5148989711079</v>
      </c>
      <c r="H30" s="608">
        <f>'Financial impact (cash)'!H22*$C$30/60</f>
        <v>5667.4950181628765</v>
      </c>
      <c r="I30" s="608">
        <f>'Financial impact (cash)'!I22*$C$30/60</f>
        <v>5712.8349783081794</v>
      </c>
      <c r="J30" s="272"/>
      <c r="K30" s="752"/>
      <c r="L30" s="753"/>
      <c r="M30" s="753"/>
      <c r="N30" s="753"/>
      <c r="O30" s="753"/>
      <c r="P30" s="753"/>
      <c r="Q30" s="753"/>
      <c r="R30" s="65"/>
      <c r="S30" s="65"/>
      <c r="T30" s="65"/>
      <c r="U30" s="65"/>
      <c r="V30" s="65"/>
      <c r="W30" s="65"/>
      <c r="X30" s="65"/>
      <c r="Y30" s="65"/>
      <c r="Z30" s="65"/>
      <c r="AJ30" s="152"/>
      <c r="AK30" s="152"/>
      <c r="AL30" s="152"/>
      <c r="AM30" s="152"/>
      <c r="AN30" s="152"/>
    </row>
    <row r="31" spans="1:40" x14ac:dyDescent="0.25">
      <c r="A31" s="266"/>
      <c r="B31" s="257"/>
      <c r="C31" s="703"/>
      <c r="D31" s="469">
        <f t="shared" ref="D31:I31" si="19">SUM(D30:D30)</f>
        <v>0</v>
      </c>
      <c r="E31" s="469">
        <f t="shared" si="19"/>
        <v>2766.8113912957779</v>
      </c>
      <c r="F31" s="469">
        <f t="shared" si="19"/>
        <v>4183.4188236392156</v>
      </c>
      <c r="G31" s="469">
        <f t="shared" si="19"/>
        <v>5622.5148989711079</v>
      </c>
      <c r="H31" s="469">
        <f t="shared" si="19"/>
        <v>5667.4950181628765</v>
      </c>
      <c r="I31" s="469">
        <f t="shared" si="19"/>
        <v>5712.8349783081794</v>
      </c>
      <c r="J31" s="272"/>
      <c r="K31" s="116"/>
      <c r="L31" s="753"/>
      <c r="M31" s="753"/>
      <c r="N31" s="753"/>
      <c r="O31" s="753"/>
      <c r="P31" s="753"/>
      <c r="Q31" s="753"/>
      <c r="R31" s="65"/>
      <c r="S31" s="65"/>
      <c r="T31" s="65"/>
      <c r="U31" s="65"/>
      <c r="V31" s="65"/>
      <c r="W31" s="65"/>
      <c r="X31" s="65"/>
      <c r="Y31" s="65"/>
      <c r="Z31" s="65"/>
      <c r="AJ31" s="152"/>
      <c r="AK31" s="152"/>
      <c r="AL31" s="152"/>
      <c r="AM31" s="152"/>
      <c r="AN31" s="152"/>
    </row>
    <row r="32" spans="1:40" x14ac:dyDescent="0.25">
      <c r="A32" s="266"/>
      <c r="B32" s="138"/>
      <c r="C32" s="138"/>
      <c r="D32" s="704" t="s">
        <v>849</v>
      </c>
      <c r="E32" s="469">
        <f>E31-$D$31</f>
        <v>2766.8113912957779</v>
      </c>
      <c r="F32" s="469">
        <f>F31-$D$31</f>
        <v>4183.4188236392156</v>
      </c>
      <c r="G32" s="469">
        <f>G31-$D$31</f>
        <v>5622.5148989711079</v>
      </c>
      <c r="H32" s="469">
        <f>H31-$D$31</f>
        <v>5667.4950181628765</v>
      </c>
      <c r="I32" s="469">
        <f>I31-$D$31</f>
        <v>5712.8349783081794</v>
      </c>
      <c r="J32" s="272"/>
      <c r="K32" s="116"/>
      <c r="L32" s="753"/>
      <c r="M32" s="753"/>
      <c r="N32" s="753"/>
      <c r="O32" s="753"/>
      <c r="P32" s="753"/>
      <c r="Q32" s="753"/>
      <c r="R32" s="65"/>
      <c r="S32" s="65"/>
      <c r="T32" s="65"/>
      <c r="U32" s="65"/>
      <c r="V32" s="65"/>
      <c r="W32" s="65"/>
      <c r="X32" s="65"/>
      <c r="Y32" s="65"/>
      <c r="Z32" s="65"/>
      <c r="AJ32" s="152"/>
      <c r="AK32" s="152"/>
      <c r="AL32" s="152"/>
      <c r="AM32" s="152"/>
      <c r="AN32" s="152"/>
    </row>
    <row r="33" spans="1:40" x14ac:dyDescent="0.25">
      <c r="A33" s="154"/>
      <c r="B33" s="267"/>
      <c r="C33" s="268"/>
      <c r="D33" s="269"/>
      <c r="E33" s="270"/>
      <c r="F33" s="154"/>
      <c r="G33" s="154"/>
      <c r="H33" s="154"/>
      <c r="I33" s="154"/>
      <c r="J33" s="154"/>
      <c r="K33" s="154"/>
      <c r="L33" s="154"/>
      <c r="M33" s="154"/>
      <c r="N33" s="154"/>
      <c r="O33" s="154"/>
      <c r="P33" s="154"/>
      <c r="Q33" s="154"/>
      <c r="Y33" s="65"/>
      <c r="Z33" s="65"/>
      <c r="AJ33" s="152"/>
      <c r="AK33" s="152"/>
      <c r="AL33" s="152"/>
      <c r="AM33" s="152"/>
      <c r="AN33" s="152"/>
    </row>
    <row r="34" spans="1:40" x14ac:dyDescent="0.25">
      <c r="A34" s="153"/>
      <c r="B34" s="168" t="s">
        <v>850</v>
      </c>
      <c r="C34" s="157"/>
      <c r="D34" s="157"/>
      <c r="E34" s="158"/>
      <c r="F34" s="159"/>
      <c r="G34" s="160"/>
      <c r="H34" s="160"/>
      <c r="I34" s="160"/>
      <c r="J34" s="206"/>
      <c r="K34" s="153"/>
      <c r="L34" s="153"/>
      <c r="M34" s="153"/>
      <c r="N34" s="153"/>
      <c r="O34" s="153"/>
      <c r="P34" s="153"/>
      <c r="Q34" s="115"/>
      <c r="V34" s="65"/>
    </row>
    <row r="35" spans="1:40" x14ac:dyDescent="0.25">
      <c r="A35" s="153"/>
      <c r="B35" s="705" t="s">
        <v>785</v>
      </c>
      <c r="C35" s="197"/>
      <c r="D35" s="197"/>
      <c r="E35" s="197"/>
      <c r="F35" s="197"/>
      <c r="G35" s="197"/>
      <c r="H35" s="197"/>
      <c r="I35" s="414"/>
      <c r="J35" s="205"/>
      <c r="K35" s="115"/>
      <c r="L35" s="204"/>
      <c r="M35" s="204"/>
      <c r="N35" s="204"/>
      <c r="O35" s="204"/>
      <c r="P35" s="204"/>
      <c r="Q35" s="204"/>
      <c r="V35" s="65"/>
    </row>
    <row r="36" spans="1:40" ht="74.849999999999994" customHeight="1" x14ac:dyDescent="0.25">
      <c r="A36" s="153"/>
      <c r="B36" s="667" t="s">
        <v>505</v>
      </c>
      <c r="C36" s="697"/>
      <c r="D36" s="674" t="s">
        <v>643</v>
      </c>
      <c r="E36" s="662" t="s">
        <v>434</v>
      </c>
      <c r="F36" s="662" t="s">
        <v>435</v>
      </c>
      <c r="G36" s="612" t="s">
        <v>613</v>
      </c>
      <c r="H36" s="612" t="s">
        <v>614</v>
      </c>
      <c r="I36" s="662" t="s">
        <v>615</v>
      </c>
      <c r="J36" s="153"/>
      <c r="K36" s="698"/>
      <c r="L36" s="674" t="s">
        <v>643</v>
      </c>
      <c r="M36" s="699" t="s">
        <v>434</v>
      </c>
      <c r="N36" s="699" t="s">
        <v>435</v>
      </c>
      <c r="O36" s="700" t="s">
        <v>613</v>
      </c>
      <c r="P36" s="700" t="s">
        <v>614</v>
      </c>
      <c r="Q36" s="699" t="s">
        <v>615</v>
      </c>
      <c r="V36" s="65"/>
    </row>
    <row r="37" spans="1:40" x14ac:dyDescent="0.25">
      <c r="A37" s="153"/>
      <c r="B37" s="178" t="s">
        <v>534</v>
      </c>
      <c r="C37" s="475"/>
      <c r="D37" s="608">
        <f>Summary!C16</f>
        <v>29475.317483531369</v>
      </c>
      <c r="E37" s="608">
        <f>Summary!D16</f>
        <v>31691.861358292932</v>
      </c>
      <c r="F37" s="608">
        <f>Summary!E16</f>
        <v>33941.983514731735</v>
      </c>
      <c r="G37" s="608">
        <f>Summary!F16</f>
        <v>36226.079346546619</v>
      </c>
      <c r="H37" s="608">
        <f>Summary!G16</f>
        <v>38544.548424725603</v>
      </c>
      <c r="I37" s="608">
        <f>Summary!H16</f>
        <v>40897.79453907728</v>
      </c>
      <c r="J37" s="153"/>
      <c r="K37" s="743"/>
      <c r="L37" s="744"/>
      <c r="M37" s="744"/>
      <c r="N37" s="744"/>
      <c r="O37" s="744"/>
      <c r="P37" s="744"/>
      <c r="Q37" s="744"/>
      <c r="S37" s="65"/>
      <c r="T37" s="65"/>
      <c r="U37" s="65"/>
      <c r="V37" s="65"/>
      <c r="W37" s="65"/>
      <c r="X37" s="65"/>
      <c r="Y37" s="65"/>
      <c r="Z37" s="65"/>
      <c r="AJ37" s="152"/>
      <c r="AK37" s="152"/>
      <c r="AL37" s="152"/>
      <c r="AM37" s="152"/>
      <c r="AN37" s="152"/>
    </row>
    <row r="38" spans="1:40" x14ac:dyDescent="0.25">
      <c r="A38" s="153"/>
      <c r="B38" s="178" t="s">
        <v>484</v>
      </c>
      <c r="C38" s="475"/>
      <c r="D38" s="608">
        <f>Summary!C17</f>
        <v>181764.45781511013</v>
      </c>
      <c r="E38" s="608">
        <f>Summary!D17</f>
        <v>182228.20281018436</v>
      </c>
      <c r="F38" s="608">
        <f>Summary!E17</f>
        <v>182687.7347998796</v>
      </c>
      <c r="G38" s="608">
        <f>Summary!F17</f>
        <v>183142.95669643013</v>
      </c>
      <c r="H38" s="608">
        <f>Summary!G17</f>
        <v>183593.77012829829</v>
      </c>
      <c r="I38" s="608">
        <f>Summary!H17</f>
        <v>184040.07542584772</v>
      </c>
      <c r="J38" s="153"/>
      <c r="K38" s="743"/>
      <c r="L38" s="744"/>
      <c r="M38" s="744"/>
      <c r="N38" s="744"/>
      <c r="O38" s="744"/>
      <c r="P38" s="744"/>
      <c r="Q38" s="744"/>
      <c r="S38" s="65"/>
      <c r="T38" s="65"/>
      <c r="U38" s="65"/>
      <c r="V38" s="65"/>
      <c r="W38" s="65"/>
      <c r="X38" s="65"/>
      <c r="Y38" s="65"/>
      <c r="Z38" s="65"/>
      <c r="AJ38" s="152"/>
      <c r="AK38" s="152"/>
      <c r="AL38" s="152"/>
      <c r="AM38" s="152"/>
      <c r="AN38" s="152"/>
    </row>
    <row r="39" spans="1:40" x14ac:dyDescent="0.25">
      <c r="A39" s="153"/>
      <c r="B39" s="178" t="s">
        <v>851</v>
      </c>
      <c r="C39" s="475"/>
      <c r="D39" s="608">
        <f>Summary!C18</f>
        <v>181764.45781511013</v>
      </c>
      <c r="E39" s="608">
        <f>Summary!D18</f>
        <v>182228.20281018436</v>
      </c>
      <c r="F39" s="608">
        <f>Summary!E18</f>
        <v>182687.7347998796</v>
      </c>
      <c r="G39" s="608">
        <f>Summary!F18</f>
        <v>183142.95669643013</v>
      </c>
      <c r="H39" s="608">
        <f>Summary!G18</f>
        <v>183593.77012829829</v>
      </c>
      <c r="I39" s="608">
        <f>Summary!H18</f>
        <v>184040.07542584772</v>
      </c>
      <c r="J39" s="153"/>
      <c r="K39" s="743"/>
      <c r="L39" s="744"/>
      <c r="M39" s="744"/>
      <c r="N39" s="744"/>
      <c r="O39" s="744"/>
      <c r="P39" s="744"/>
      <c r="Q39" s="744"/>
      <c r="S39" s="65"/>
      <c r="T39" s="65"/>
      <c r="U39" s="65"/>
      <c r="V39" s="65"/>
      <c r="W39" s="65"/>
      <c r="X39" s="65"/>
      <c r="Y39" s="65"/>
      <c r="Z39" s="65"/>
      <c r="AJ39" s="152"/>
      <c r="AK39" s="152"/>
      <c r="AL39" s="152"/>
      <c r="AM39" s="152"/>
      <c r="AN39" s="152"/>
    </row>
    <row r="40" spans="1:40" x14ac:dyDescent="0.25">
      <c r="A40" s="153"/>
      <c r="B40" s="703" t="s">
        <v>656</v>
      </c>
      <c r="C40" s="707"/>
      <c r="D40" s="469">
        <f t="shared" ref="D40:I40" si="20">SUM(D37:D39)</f>
        <v>393004.23311375163</v>
      </c>
      <c r="E40" s="469">
        <f t="shared" si="20"/>
        <v>396148.26697866165</v>
      </c>
      <c r="F40" s="469">
        <f t="shared" si="20"/>
        <v>399317.45311449096</v>
      </c>
      <c r="G40" s="469">
        <f t="shared" si="20"/>
        <v>402511.99273940688</v>
      </c>
      <c r="H40" s="469">
        <f t="shared" si="20"/>
        <v>405732.08868132217</v>
      </c>
      <c r="I40" s="469">
        <f t="shared" si="20"/>
        <v>408977.94539077271</v>
      </c>
      <c r="J40" s="153"/>
      <c r="K40" s="153"/>
      <c r="L40" s="466"/>
      <c r="M40" s="466"/>
      <c r="N40" s="466"/>
      <c r="O40" s="466"/>
      <c r="P40" s="466"/>
      <c r="Q40" s="466"/>
      <c r="S40" s="65"/>
      <c r="T40" s="65"/>
      <c r="U40" s="65"/>
      <c r="V40" s="65"/>
      <c r="W40" s="65"/>
      <c r="X40" s="65"/>
      <c r="Y40" s="65"/>
      <c r="Z40" s="65"/>
      <c r="AJ40" s="152"/>
      <c r="AK40" s="152"/>
      <c r="AL40" s="152"/>
      <c r="AM40" s="152"/>
      <c r="AN40" s="152"/>
    </row>
    <row r="41" spans="1:40" x14ac:dyDescent="0.25">
      <c r="A41" s="153"/>
      <c r="B41" s="161"/>
      <c r="C41" s="138"/>
      <c r="D41" s="704" t="s">
        <v>657</v>
      </c>
      <c r="E41" s="469">
        <f>E40-$D$40</f>
        <v>3144.0338649100158</v>
      </c>
      <c r="F41" s="469">
        <f>F40-$D$40</f>
        <v>6313.2200007393258</v>
      </c>
      <c r="G41" s="469">
        <f>G40-$D$40</f>
        <v>9507.7596256552497</v>
      </c>
      <c r="H41" s="469">
        <f>H40-$D$40</f>
        <v>12727.855567570543</v>
      </c>
      <c r="I41" s="469">
        <f>I40-$D$40</f>
        <v>15973.712277021084</v>
      </c>
      <c r="J41" s="153"/>
      <c r="K41" s="153"/>
      <c r="L41" s="708"/>
      <c r="M41" s="466"/>
      <c r="N41" s="466"/>
      <c r="O41" s="466"/>
      <c r="P41" s="466"/>
      <c r="Q41" s="466"/>
      <c r="S41" s="65"/>
      <c r="T41" s="65"/>
      <c r="U41" s="65"/>
      <c r="V41" s="65"/>
      <c r="W41" s="65"/>
      <c r="X41" s="65"/>
      <c r="Y41" s="65"/>
      <c r="Z41" s="65"/>
      <c r="AJ41" s="152"/>
      <c r="AK41" s="152"/>
      <c r="AL41" s="152"/>
      <c r="AM41" s="152"/>
      <c r="AN41" s="152"/>
    </row>
    <row r="42" spans="1:40" x14ac:dyDescent="0.25">
      <c r="A42" s="153"/>
      <c r="B42" s="169"/>
      <c r="C42" s="115"/>
      <c r="D42" s="115"/>
      <c r="E42" s="115"/>
      <c r="F42" s="115"/>
      <c r="G42" s="115"/>
      <c r="H42" s="115"/>
      <c r="I42" s="115"/>
      <c r="J42" s="115"/>
      <c r="K42" s="115"/>
      <c r="L42" s="115"/>
      <c r="M42" s="115"/>
      <c r="N42" s="115"/>
      <c r="O42" s="115"/>
      <c r="P42" s="115"/>
      <c r="Q42" s="115"/>
      <c r="S42" s="65"/>
      <c r="T42" s="65"/>
      <c r="U42" s="65"/>
      <c r="V42" s="65"/>
      <c r="W42" s="65"/>
      <c r="X42" s="65"/>
      <c r="Y42" s="65"/>
      <c r="Z42" s="65"/>
      <c r="AJ42" s="152"/>
      <c r="AK42" s="152"/>
      <c r="AL42" s="152"/>
      <c r="AM42" s="152"/>
      <c r="AN42" s="152"/>
    </row>
    <row r="43" spans="1:40" x14ac:dyDescent="0.25">
      <c r="A43" s="153"/>
      <c r="B43" s="168" t="s">
        <v>850</v>
      </c>
      <c r="C43" s="157"/>
      <c r="D43" s="157"/>
      <c r="E43" s="158"/>
      <c r="F43" s="159"/>
      <c r="G43" s="160"/>
      <c r="H43" s="160"/>
      <c r="I43" s="160"/>
      <c r="J43" s="206"/>
      <c r="K43" s="153"/>
      <c r="L43" s="153"/>
      <c r="M43" s="153"/>
      <c r="N43" s="153"/>
      <c r="O43" s="153"/>
      <c r="P43" s="153"/>
      <c r="Q43" s="115"/>
      <c r="V43" s="65"/>
    </row>
    <row r="44" spans="1:40" x14ac:dyDescent="0.25">
      <c r="A44" s="153"/>
      <c r="B44" s="705" t="s">
        <v>744</v>
      </c>
      <c r="C44" s="197"/>
      <c r="D44" s="197"/>
      <c r="E44" s="197"/>
      <c r="F44" s="197"/>
      <c r="G44" s="197"/>
      <c r="H44" s="197"/>
      <c r="I44" s="414"/>
      <c r="J44" s="205"/>
      <c r="K44" s="115"/>
      <c r="L44" s="204"/>
      <c r="M44" s="204"/>
      <c r="N44" s="204"/>
      <c r="O44" s="204"/>
      <c r="P44" s="204"/>
      <c r="Q44" s="204"/>
      <c r="V44" s="65"/>
    </row>
    <row r="45" spans="1:40" ht="74.849999999999994" customHeight="1" x14ac:dyDescent="0.25">
      <c r="A45" s="153"/>
      <c r="B45" s="667" t="s">
        <v>505</v>
      </c>
      <c r="C45" s="697" t="s">
        <v>747</v>
      </c>
      <c r="D45" s="674" t="s">
        <v>643</v>
      </c>
      <c r="E45" s="662" t="s">
        <v>434</v>
      </c>
      <c r="F45" s="662" t="s">
        <v>435</v>
      </c>
      <c r="G45" s="612" t="s">
        <v>613</v>
      </c>
      <c r="H45" s="612" t="s">
        <v>614</v>
      </c>
      <c r="I45" s="662" t="s">
        <v>615</v>
      </c>
      <c r="J45" s="153"/>
      <c r="K45" s="698"/>
      <c r="L45" s="674" t="s">
        <v>643</v>
      </c>
      <c r="M45" s="699" t="s">
        <v>434</v>
      </c>
      <c r="N45" s="699" t="s">
        <v>435</v>
      </c>
      <c r="O45" s="700" t="s">
        <v>613</v>
      </c>
      <c r="P45" s="700" t="s">
        <v>614</v>
      </c>
      <c r="Q45" s="699" t="s">
        <v>615</v>
      </c>
      <c r="V45" s="65"/>
    </row>
    <row r="46" spans="1:40" x14ac:dyDescent="0.25">
      <c r="A46" s="153"/>
      <c r="B46" s="178" t="s">
        <v>534</v>
      </c>
      <c r="C46" s="475">
        <f>'Inputs and eligible population'!H66</f>
        <v>15</v>
      </c>
      <c r="D46" s="608">
        <f>D37*$C46/60</f>
        <v>7368.8293708828423</v>
      </c>
      <c r="E46" s="608">
        <f t="shared" ref="E46:I48" si="21">E37*$C46/60</f>
        <v>7922.965339573233</v>
      </c>
      <c r="F46" s="608">
        <f t="shared" si="21"/>
        <v>8485.4958786829338</v>
      </c>
      <c r="G46" s="608">
        <f t="shared" si="21"/>
        <v>9056.5198366366549</v>
      </c>
      <c r="H46" s="608">
        <f t="shared" si="21"/>
        <v>9636.1371061814007</v>
      </c>
      <c r="I46" s="608">
        <f t="shared" si="21"/>
        <v>10224.44863476932</v>
      </c>
      <c r="J46" s="153"/>
      <c r="K46" s="743"/>
      <c r="L46" s="744"/>
      <c r="M46" s="744"/>
      <c r="N46" s="744"/>
      <c r="O46" s="744"/>
      <c r="P46" s="744"/>
      <c r="Q46" s="744"/>
      <c r="S46" s="65"/>
      <c r="T46" s="65"/>
      <c r="U46" s="65"/>
      <c r="V46" s="65"/>
      <c r="W46" s="65"/>
      <c r="X46" s="65"/>
      <c r="Y46" s="65"/>
      <c r="Z46" s="65"/>
      <c r="AJ46" s="152"/>
      <c r="AK46" s="152"/>
      <c r="AL46" s="152"/>
      <c r="AM46" s="152"/>
      <c r="AN46" s="152"/>
    </row>
    <row r="47" spans="1:40" x14ac:dyDescent="0.25">
      <c r="A47" s="153"/>
      <c r="B47" s="178" t="s">
        <v>484</v>
      </c>
      <c r="C47" s="475">
        <f>'Inputs and eligible population'!H67</f>
        <v>20</v>
      </c>
      <c r="D47" s="608">
        <f>D38*$C47/60</f>
        <v>60588.15260503671</v>
      </c>
      <c r="E47" s="608">
        <f t="shared" si="21"/>
        <v>60742.734270061454</v>
      </c>
      <c r="F47" s="608">
        <f t="shared" si="21"/>
        <v>60895.911599959865</v>
      </c>
      <c r="G47" s="608">
        <f t="shared" si="21"/>
        <v>61047.652232143373</v>
      </c>
      <c r="H47" s="608">
        <f t="shared" si="21"/>
        <v>61197.923376099432</v>
      </c>
      <c r="I47" s="608">
        <f t="shared" si="21"/>
        <v>61346.691808615906</v>
      </c>
      <c r="J47" s="153"/>
      <c r="K47" s="743"/>
      <c r="L47" s="744"/>
      <c r="M47" s="744"/>
      <c r="N47" s="744"/>
      <c r="O47" s="744"/>
      <c r="P47" s="744"/>
      <c r="Q47" s="744"/>
      <c r="S47" s="65"/>
      <c r="T47" s="65"/>
      <c r="U47" s="65"/>
      <c r="V47" s="65"/>
      <c r="W47" s="65"/>
      <c r="X47" s="65"/>
      <c r="Y47" s="65"/>
      <c r="Z47" s="65"/>
      <c r="AJ47" s="152"/>
      <c r="AK47" s="152"/>
      <c r="AL47" s="152"/>
      <c r="AM47" s="152"/>
      <c r="AN47" s="152"/>
    </row>
    <row r="48" spans="1:40" x14ac:dyDescent="0.25">
      <c r="A48" s="153"/>
      <c r="B48" s="178" t="s">
        <v>851</v>
      </c>
      <c r="C48" s="475">
        <f>'Inputs and eligible population'!H68</f>
        <v>30</v>
      </c>
      <c r="D48" s="608">
        <f>D39*$C48/60</f>
        <v>90882.228907555065</v>
      </c>
      <c r="E48" s="608">
        <f t="shared" si="21"/>
        <v>91114.10140509218</v>
      </c>
      <c r="F48" s="608">
        <f t="shared" si="21"/>
        <v>91343.867399939802</v>
      </c>
      <c r="G48" s="608">
        <f t="shared" si="21"/>
        <v>91571.478348215067</v>
      </c>
      <c r="H48" s="608">
        <f t="shared" si="21"/>
        <v>91796.885064149144</v>
      </c>
      <c r="I48" s="608">
        <f t="shared" si="21"/>
        <v>92020.037712923862</v>
      </c>
      <c r="J48" s="153"/>
      <c r="K48" s="743"/>
      <c r="L48" s="744"/>
      <c r="M48" s="744"/>
      <c r="N48" s="744"/>
      <c r="O48" s="744"/>
      <c r="P48" s="744"/>
      <c r="Q48" s="744"/>
      <c r="S48" s="65"/>
      <c r="T48" s="65"/>
      <c r="U48" s="65"/>
      <c r="V48" s="65"/>
      <c r="W48" s="65"/>
      <c r="X48" s="65"/>
      <c r="Y48" s="65"/>
      <c r="Z48" s="65"/>
      <c r="AJ48" s="152"/>
      <c r="AK48" s="152"/>
      <c r="AL48" s="152"/>
      <c r="AM48" s="152"/>
      <c r="AN48" s="152"/>
    </row>
    <row r="49" spans="1:40" x14ac:dyDescent="0.25">
      <c r="A49" s="153"/>
      <c r="B49" s="703" t="s">
        <v>656</v>
      </c>
      <c r="C49" s="707"/>
      <c r="D49" s="469">
        <f t="shared" ref="D49:I49" si="22">SUM(D46:D48)</f>
        <v>158839.21088347462</v>
      </c>
      <c r="E49" s="469">
        <f t="shared" si="22"/>
        <v>159779.80101472687</v>
      </c>
      <c r="F49" s="469">
        <f t="shared" si="22"/>
        <v>160725.2748785826</v>
      </c>
      <c r="G49" s="469">
        <f t="shared" si="22"/>
        <v>161675.65041699511</v>
      </c>
      <c r="H49" s="469">
        <f t="shared" si="22"/>
        <v>162630.94554642998</v>
      </c>
      <c r="I49" s="469">
        <f t="shared" si="22"/>
        <v>163591.17815630909</v>
      </c>
      <c r="J49" s="153"/>
      <c r="K49" s="153"/>
      <c r="L49" s="466"/>
      <c r="M49" s="466"/>
      <c r="N49" s="466"/>
      <c r="O49" s="466"/>
      <c r="P49" s="466"/>
      <c r="Q49" s="466"/>
      <c r="S49" s="65"/>
      <c r="T49" s="65"/>
      <c r="U49" s="65"/>
      <c r="V49" s="65"/>
      <c r="W49" s="65"/>
      <c r="X49" s="65"/>
      <c r="Y49" s="65"/>
      <c r="Z49" s="65"/>
      <c r="AJ49" s="152"/>
      <c r="AK49" s="152"/>
      <c r="AL49" s="152"/>
      <c r="AM49" s="152"/>
      <c r="AN49" s="152"/>
    </row>
    <row r="50" spans="1:40" x14ac:dyDescent="0.25">
      <c r="A50" s="153"/>
      <c r="B50" s="161"/>
      <c r="C50" s="138"/>
      <c r="D50" s="704" t="s">
        <v>657</v>
      </c>
      <c r="E50" s="469">
        <f>E49-$D$49</f>
        <v>940.59013125224737</v>
      </c>
      <c r="F50" s="469">
        <f t="shared" ref="F50:I50" si="23">F49-$D$49</f>
        <v>1886.0639951079793</v>
      </c>
      <c r="G50" s="469">
        <f t="shared" si="23"/>
        <v>2836.4395335204899</v>
      </c>
      <c r="H50" s="469">
        <f t="shared" si="23"/>
        <v>3791.7346629553649</v>
      </c>
      <c r="I50" s="469">
        <f t="shared" si="23"/>
        <v>4751.967272834474</v>
      </c>
      <c r="J50" s="153"/>
      <c r="K50" s="153"/>
      <c r="L50" s="708"/>
      <c r="M50" s="466"/>
      <c r="N50" s="466"/>
      <c r="O50" s="466"/>
      <c r="P50" s="466"/>
      <c r="Q50" s="466"/>
      <c r="S50" s="65"/>
      <c r="T50" s="65"/>
      <c r="U50" s="65"/>
      <c r="V50" s="65"/>
      <c r="W50" s="65"/>
      <c r="X50" s="65"/>
      <c r="Y50" s="65"/>
      <c r="Z50" s="65"/>
      <c r="AJ50" s="152"/>
      <c r="AK50" s="152"/>
      <c r="AL50" s="152"/>
      <c r="AM50" s="152"/>
      <c r="AN50" s="152"/>
    </row>
    <row r="51" spans="1:40" x14ac:dyDescent="0.25">
      <c r="A51" s="153"/>
      <c r="B51" s="169"/>
      <c r="C51" s="115"/>
      <c r="D51" s="115"/>
      <c r="E51" s="115"/>
      <c r="F51" s="115"/>
      <c r="G51" s="115"/>
      <c r="H51" s="115"/>
      <c r="I51" s="115"/>
      <c r="J51" s="115"/>
      <c r="K51" s="115"/>
      <c r="L51" s="115"/>
      <c r="M51" s="115"/>
      <c r="N51" s="115"/>
      <c r="O51" s="115"/>
      <c r="P51" s="115"/>
      <c r="Q51" s="115"/>
      <c r="S51" s="65"/>
      <c r="T51" s="65"/>
      <c r="U51" s="65"/>
      <c r="V51" s="65"/>
      <c r="W51" s="65"/>
      <c r="X51" s="65"/>
      <c r="Y51" s="65"/>
      <c r="Z51" s="65"/>
      <c r="AJ51" s="152"/>
      <c r="AK51" s="152"/>
      <c r="AL51" s="152"/>
      <c r="AM51" s="152"/>
      <c r="AN51" s="152"/>
    </row>
    <row r="52" spans="1:40" x14ac:dyDescent="0.25">
      <c r="A52" s="153"/>
      <c r="B52" s="168" t="s">
        <v>852</v>
      </c>
      <c r="C52" s="157"/>
      <c r="D52" s="157"/>
      <c r="E52" s="158"/>
      <c r="F52" s="159"/>
      <c r="G52" s="160"/>
      <c r="H52" s="160"/>
      <c r="I52" s="160"/>
      <c r="J52" s="206"/>
      <c r="K52" s="153"/>
      <c r="L52" s="153"/>
      <c r="M52" s="153"/>
      <c r="N52" s="153"/>
      <c r="O52" s="153"/>
      <c r="P52" s="153"/>
      <c r="Q52" s="115"/>
      <c r="V52" s="65"/>
    </row>
    <row r="53" spans="1:40" x14ac:dyDescent="0.25">
      <c r="A53" s="153"/>
      <c r="B53" s="705" t="s">
        <v>786</v>
      </c>
      <c r="C53" s="197"/>
      <c r="D53" s="197"/>
      <c r="E53" s="197"/>
      <c r="F53" s="197"/>
      <c r="G53" s="197"/>
      <c r="H53" s="197"/>
      <c r="I53" s="414"/>
      <c r="J53" s="205"/>
      <c r="K53" s="115"/>
      <c r="L53" s="204"/>
      <c r="M53" s="204"/>
      <c r="N53" s="204"/>
      <c r="O53" s="204"/>
      <c r="P53" s="204"/>
      <c r="Q53" s="204"/>
      <c r="V53" s="65"/>
    </row>
    <row r="54" spans="1:40" ht="74.849999999999994" customHeight="1" x14ac:dyDescent="0.25">
      <c r="A54" s="153"/>
      <c r="B54" s="667" t="s">
        <v>505</v>
      </c>
      <c r="C54" s="697"/>
      <c r="D54" s="674" t="s">
        <v>643</v>
      </c>
      <c r="E54" s="662" t="s">
        <v>434</v>
      </c>
      <c r="F54" s="662" t="s">
        <v>435</v>
      </c>
      <c r="G54" s="612" t="s">
        <v>613</v>
      </c>
      <c r="H54" s="612" t="s">
        <v>614</v>
      </c>
      <c r="I54" s="662" t="s">
        <v>615</v>
      </c>
      <c r="J54" s="153"/>
      <c r="K54" s="698" t="s">
        <v>853</v>
      </c>
      <c r="L54" s="674" t="s">
        <v>643</v>
      </c>
      <c r="M54" s="699" t="s">
        <v>434</v>
      </c>
      <c r="N54" s="699" t="s">
        <v>435</v>
      </c>
      <c r="O54" s="700" t="s">
        <v>613</v>
      </c>
      <c r="P54" s="700" t="s">
        <v>614</v>
      </c>
      <c r="Q54" s="699" t="s">
        <v>615</v>
      </c>
      <c r="V54" s="65"/>
    </row>
    <row r="55" spans="1:40" x14ac:dyDescent="0.25">
      <c r="A55" s="153"/>
      <c r="B55" s="178" t="s">
        <v>534</v>
      </c>
      <c r="C55" s="475"/>
      <c r="D55" s="608">
        <f>Summary!C23</f>
        <v>9913.3915654326174</v>
      </c>
      <c r="E55" s="608">
        <f>Summary!D23</f>
        <v>9992.6986979560788</v>
      </c>
      <c r="F55" s="608">
        <f>Summary!E23</f>
        <v>10072.640287539729</v>
      </c>
      <c r="G55" s="608">
        <f>Summary!F23</f>
        <v>10153.221409840045</v>
      </c>
      <c r="H55" s="608">
        <f>Summary!G23</f>
        <v>10234.447181118767</v>
      </c>
      <c r="I55" s="608">
        <f>Summary!H23</f>
        <v>10316.322758567718</v>
      </c>
      <c r="J55" s="153"/>
      <c r="K55" s="819">
        <f>'Unit costs'!$N$43</f>
        <v>179.18490277840203</v>
      </c>
      <c r="L55" s="750">
        <f>D55*$K55/1000</f>
        <v>1776.3301038562745</v>
      </c>
      <c r="M55" s="750">
        <f t="shared" ref="M55:Q57" si="24">E55*$K55/1000</f>
        <v>1790.5407446871245</v>
      </c>
      <c r="N55" s="750">
        <f t="shared" si="24"/>
        <v>1804.8650706446217</v>
      </c>
      <c r="O55" s="750">
        <f t="shared" si="24"/>
        <v>1819.3039912097784</v>
      </c>
      <c r="P55" s="750">
        <f t="shared" si="24"/>
        <v>1833.8584231394568</v>
      </c>
      <c r="Q55" s="750">
        <f t="shared" si="24"/>
        <v>1848.5292905245728</v>
      </c>
      <c r="S55" s="65"/>
      <c r="T55" s="65"/>
      <c r="U55" s="65"/>
      <c r="V55" s="65"/>
      <c r="W55" s="65"/>
      <c r="X55" s="65"/>
      <c r="Y55" s="65"/>
      <c r="Z55" s="65"/>
      <c r="AJ55" s="152"/>
      <c r="AK55" s="152"/>
      <c r="AL55" s="152"/>
      <c r="AM55" s="152"/>
      <c r="AN55" s="152"/>
    </row>
    <row r="56" spans="1:40" x14ac:dyDescent="0.25">
      <c r="A56" s="153"/>
      <c r="B56" s="178" t="s">
        <v>484</v>
      </c>
      <c r="C56" s="475"/>
      <c r="D56" s="608">
        <f>Summary!C24</f>
        <v>11010.178212124971</v>
      </c>
      <c r="E56" s="608">
        <f>Summary!D24</f>
        <v>11098.259637821971</v>
      </c>
      <c r="F56" s="608">
        <f>Summary!E24</f>
        <v>11187.045714924547</v>
      </c>
      <c r="G56" s="608">
        <f>Summary!F24</f>
        <v>11276.542080643943</v>
      </c>
      <c r="H56" s="608">
        <f>Summary!G24</f>
        <v>11366.754417289096</v>
      </c>
      <c r="I56" s="608">
        <f>Summary!H24</f>
        <v>11457.688452627408</v>
      </c>
      <c r="J56" s="153"/>
      <c r="K56" s="819">
        <f>'Unit costs'!$N$43</f>
        <v>179.18490277840203</v>
      </c>
      <c r="L56" s="750">
        <f>D56*$K56/1000</f>
        <v>1972.8577125124932</v>
      </c>
      <c r="M56" s="750">
        <f t="shared" si="24"/>
        <v>1988.6405742125933</v>
      </c>
      <c r="N56" s="750">
        <f t="shared" si="24"/>
        <v>2004.5496988062939</v>
      </c>
      <c r="O56" s="750">
        <f t="shared" si="24"/>
        <v>2020.5860963967446</v>
      </c>
      <c r="P56" s="750">
        <f t="shared" si="24"/>
        <v>2036.7507851679186</v>
      </c>
      <c r="Q56" s="750">
        <f t="shared" si="24"/>
        <v>2053.044791449262</v>
      </c>
      <c r="S56" s="65"/>
      <c r="T56" s="65"/>
      <c r="U56" s="65"/>
      <c r="V56" s="65"/>
      <c r="W56" s="65"/>
      <c r="X56" s="65"/>
      <c r="Y56" s="65"/>
      <c r="Z56" s="65"/>
      <c r="AJ56" s="152"/>
      <c r="AK56" s="152"/>
      <c r="AL56" s="152"/>
      <c r="AM56" s="152"/>
      <c r="AN56" s="152"/>
    </row>
    <row r="57" spans="1:40" ht="21" customHeight="1" x14ac:dyDescent="0.25">
      <c r="A57" s="153"/>
      <c r="B57" s="178" t="s">
        <v>851</v>
      </c>
      <c r="C57" s="475"/>
      <c r="D57" s="608">
        <f>Summary!C25</f>
        <v>11158.603573357033</v>
      </c>
      <c r="E57" s="608">
        <f>Summary!D25</f>
        <v>11247.872401943891</v>
      </c>
      <c r="F57" s="608">
        <f>Summary!E25</f>
        <v>11337.855381159443</v>
      </c>
      <c r="G57" s="608">
        <f>Summary!F25</f>
        <v>11428.558224208718</v>
      </c>
      <c r="H57" s="608">
        <f>Summary!G25</f>
        <v>11519.986690002388</v>
      </c>
      <c r="I57" s="608">
        <f>Summary!H25</f>
        <v>11612.146583522408</v>
      </c>
      <c r="J57" s="153"/>
      <c r="K57" s="819">
        <f>'Unit costs'!$N$43</f>
        <v>179.18490277840203</v>
      </c>
      <c r="L57" s="750">
        <f>D57*$K57/1000</f>
        <v>1999.4532964347095</v>
      </c>
      <c r="M57" s="750">
        <f t="shared" si="24"/>
        <v>2015.4489228061873</v>
      </c>
      <c r="N57" s="750">
        <f t="shared" si="24"/>
        <v>2031.5725141886371</v>
      </c>
      <c r="O57" s="750">
        <f t="shared" si="24"/>
        <v>2047.8250943021462</v>
      </c>
      <c r="P57" s="750">
        <f t="shared" si="24"/>
        <v>2064.2076950565634</v>
      </c>
      <c r="Q57" s="750">
        <f t="shared" si="24"/>
        <v>2080.7213566170162</v>
      </c>
      <c r="S57" s="65"/>
      <c r="T57" s="65"/>
      <c r="U57" s="65"/>
      <c r="V57" s="65"/>
      <c r="W57" s="65"/>
      <c r="X57" s="65"/>
      <c r="Y57" s="65"/>
      <c r="Z57" s="65"/>
      <c r="AJ57" s="152"/>
      <c r="AK57" s="152"/>
      <c r="AL57" s="152"/>
      <c r="AM57" s="152"/>
      <c r="AN57" s="152"/>
    </row>
    <row r="58" spans="1:40" x14ac:dyDescent="0.25">
      <c r="A58" s="153"/>
      <c r="B58" s="703" t="s">
        <v>656</v>
      </c>
      <c r="C58" s="707"/>
      <c r="D58" s="469">
        <f t="shared" ref="D58:I58" si="25">SUM(D55:D57)</f>
        <v>32082.173350914622</v>
      </c>
      <c r="E58" s="469">
        <f t="shared" si="25"/>
        <v>32338.830737721939</v>
      </c>
      <c r="F58" s="469">
        <f t="shared" si="25"/>
        <v>32597.541383623717</v>
      </c>
      <c r="G58" s="469">
        <f t="shared" si="25"/>
        <v>32858.321714692705</v>
      </c>
      <c r="H58" s="469">
        <f t="shared" si="25"/>
        <v>33121.188288410252</v>
      </c>
      <c r="I58" s="469">
        <f t="shared" si="25"/>
        <v>33386.157794717532</v>
      </c>
      <c r="J58" s="153"/>
      <c r="K58" s="153"/>
      <c r="L58" s="751">
        <f>SUM(L55:L57)</f>
        <v>5748.6411128034779</v>
      </c>
      <c r="M58" s="751">
        <f t="shared" ref="M58:Q58" si="26">SUM(M55:M57)</f>
        <v>5794.6302417059051</v>
      </c>
      <c r="N58" s="751">
        <f t="shared" si="26"/>
        <v>5840.9872836395525</v>
      </c>
      <c r="O58" s="751">
        <f t="shared" si="26"/>
        <v>5887.7151819086685</v>
      </c>
      <c r="P58" s="751">
        <f t="shared" si="26"/>
        <v>5934.8169033639388</v>
      </c>
      <c r="Q58" s="751">
        <f t="shared" si="26"/>
        <v>5982.2954385908506</v>
      </c>
      <c r="S58" s="65"/>
      <c r="T58" s="65"/>
      <c r="U58" s="65"/>
      <c r="V58" s="65"/>
      <c r="W58" s="65"/>
      <c r="X58" s="65"/>
      <c r="Y58" s="65"/>
      <c r="Z58" s="65"/>
      <c r="AJ58" s="152"/>
      <c r="AK58" s="152"/>
      <c r="AL58" s="152"/>
      <c r="AM58" s="152"/>
      <c r="AN58" s="152"/>
    </row>
    <row r="59" spans="1:40" x14ac:dyDescent="0.25">
      <c r="A59" s="153"/>
      <c r="B59" s="161"/>
      <c r="C59" s="138"/>
      <c r="D59" s="704" t="s">
        <v>657</v>
      </c>
      <c r="E59" s="469">
        <f>E58-$D$58</f>
        <v>256.65738680731738</v>
      </c>
      <c r="F59" s="469">
        <f t="shared" ref="F59:I59" si="27">F58-$D$58</f>
        <v>515.36803270909513</v>
      </c>
      <c r="G59" s="469">
        <f t="shared" si="27"/>
        <v>776.14836377808388</v>
      </c>
      <c r="H59" s="469">
        <f t="shared" si="27"/>
        <v>1039.0149374956309</v>
      </c>
      <c r="I59" s="469">
        <f t="shared" si="27"/>
        <v>1303.9844438029104</v>
      </c>
      <c r="J59" s="153"/>
      <c r="K59" s="153"/>
      <c r="L59" s="708"/>
      <c r="M59" s="751">
        <f>M58-$L$58</f>
        <v>45.989128902427183</v>
      </c>
      <c r="N59" s="751">
        <f t="shared" ref="N59:Q59" si="28">N58-$L$58</f>
        <v>92.346170836074634</v>
      </c>
      <c r="O59" s="751">
        <f t="shared" si="28"/>
        <v>139.07406910519057</v>
      </c>
      <c r="P59" s="751">
        <f t="shared" si="28"/>
        <v>186.17579056046088</v>
      </c>
      <c r="Q59" s="751">
        <f t="shared" si="28"/>
        <v>233.65432578737273</v>
      </c>
      <c r="S59" s="65"/>
      <c r="T59" s="65"/>
      <c r="U59" s="65"/>
      <c r="V59" s="65"/>
      <c r="W59" s="65"/>
      <c r="X59" s="65"/>
      <c r="Y59" s="65"/>
      <c r="Z59" s="65"/>
      <c r="AJ59" s="152"/>
      <c r="AK59" s="152"/>
      <c r="AL59" s="152"/>
      <c r="AM59" s="152"/>
      <c r="AN59" s="152"/>
    </row>
    <row r="60" spans="1:40" x14ac:dyDescent="0.25">
      <c r="A60" s="153"/>
      <c r="B60" s="169"/>
      <c r="C60" s="115"/>
      <c r="D60" s="115"/>
      <c r="E60" s="115"/>
      <c r="F60" s="115"/>
      <c r="G60" s="115"/>
      <c r="H60" s="115"/>
      <c r="I60" s="115"/>
      <c r="J60" s="115"/>
      <c r="K60" s="115"/>
      <c r="L60" s="115"/>
      <c r="M60" s="115"/>
      <c r="N60" s="115"/>
      <c r="O60" s="115"/>
      <c r="P60" s="115"/>
      <c r="Q60" s="115"/>
      <c r="S60" s="65"/>
      <c r="T60" s="65"/>
      <c r="U60" s="65"/>
      <c r="V60" s="65"/>
      <c r="W60" s="65"/>
      <c r="X60" s="65"/>
      <c r="Y60" s="65"/>
      <c r="Z60" s="65"/>
      <c r="AJ60" s="152"/>
      <c r="AK60" s="152"/>
      <c r="AL60" s="152"/>
      <c r="AM60" s="152"/>
      <c r="AN60" s="152"/>
    </row>
    <row r="61" spans="1:40" x14ac:dyDescent="0.25">
      <c r="A61" s="153"/>
      <c r="B61" s="168" t="s">
        <v>850</v>
      </c>
      <c r="C61" s="157"/>
      <c r="D61" s="157"/>
      <c r="E61" s="158"/>
      <c r="F61" s="159"/>
      <c r="G61" s="160"/>
      <c r="H61" s="160"/>
      <c r="I61" s="160"/>
      <c r="J61" s="206"/>
      <c r="K61" s="153"/>
      <c r="L61" s="153"/>
      <c r="M61" s="153"/>
      <c r="N61" s="153"/>
      <c r="O61" s="153"/>
      <c r="P61" s="153"/>
      <c r="Q61" s="115"/>
      <c r="V61" s="65"/>
    </row>
    <row r="62" spans="1:40" x14ac:dyDescent="0.25">
      <c r="A62" s="153"/>
      <c r="B62" s="705" t="s">
        <v>753</v>
      </c>
      <c r="C62" s="197"/>
      <c r="D62" s="197"/>
      <c r="E62" s="197"/>
      <c r="F62" s="197"/>
      <c r="G62" s="197"/>
      <c r="H62" s="197"/>
      <c r="I62" s="414"/>
      <c r="J62" s="205"/>
      <c r="K62" s="115"/>
      <c r="L62" s="204"/>
      <c r="M62" s="204"/>
      <c r="N62" s="204"/>
      <c r="O62" s="204"/>
      <c r="P62" s="204"/>
      <c r="Q62" s="204"/>
      <c r="V62" s="65"/>
    </row>
    <row r="63" spans="1:40" ht="74.849999999999994" customHeight="1" x14ac:dyDescent="0.25">
      <c r="A63" s="153"/>
      <c r="B63" s="667" t="s">
        <v>505</v>
      </c>
      <c r="C63" s="697" t="s">
        <v>747</v>
      </c>
      <c r="D63" s="674" t="s">
        <v>643</v>
      </c>
      <c r="E63" s="662" t="s">
        <v>434</v>
      </c>
      <c r="F63" s="662" t="s">
        <v>435</v>
      </c>
      <c r="G63" s="612" t="s">
        <v>613</v>
      </c>
      <c r="H63" s="612" t="s">
        <v>614</v>
      </c>
      <c r="I63" s="662" t="s">
        <v>615</v>
      </c>
      <c r="J63" s="153"/>
      <c r="K63" s="698"/>
      <c r="L63" s="674" t="s">
        <v>643</v>
      </c>
      <c r="M63" s="699" t="s">
        <v>434</v>
      </c>
      <c r="N63" s="699" t="s">
        <v>435</v>
      </c>
      <c r="O63" s="700" t="s">
        <v>613</v>
      </c>
      <c r="P63" s="700" t="s">
        <v>614</v>
      </c>
      <c r="Q63" s="699" t="s">
        <v>615</v>
      </c>
      <c r="V63" s="65"/>
    </row>
    <row r="64" spans="1:40" x14ac:dyDescent="0.25">
      <c r="A64" s="153"/>
      <c r="B64" s="178" t="s">
        <v>534</v>
      </c>
      <c r="C64" s="475">
        <f>'Inputs and eligible population'!H70</f>
        <v>15</v>
      </c>
      <c r="D64" s="608">
        <f>D55*$C64/60</f>
        <v>2478.3478913581544</v>
      </c>
      <c r="E64" s="608">
        <f t="shared" ref="E64:I66" si="29">E55*$C64/60</f>
        <v>2498.1746744890197</v>
      </c>
      <c r="F64" s="608">
        <f t="shared" si="29"/>
        <v>2518.1600718849322</v>
      </c>
      <c r="G64" s="608">
        <f t="shared" si="29"/>
        <v>2538.3053524600114</v>
      </c>
      <c r="H64" s="608">
        <f t="shared" si="29"/>
        <v>2558.6117952796917</v>
      </c>
      <c r="I64" s="608">
        <f t="shared" si="29"/>
        <v>2579.0806896419294</v>
      </c>
      <c r="J64" s="153"/>
      <c r="K64" s="743"/>
      <c r="L64" s="744"/>
      <c r="M64" s="744"/>
      <c r="N64" s="744"/>
      <c r="O64" s="744"/>
      <c r="P64" s="744"/>
      <c r="Q64" s="744"/>
      <c r="S64" s="65"/>
      <c r="T64" s="65"/>
      <c r="U64" s="65"/>
      <c r="V64" s="65"/>
      <c r="W64" s="65"/>
      <c r="X64" s="65"/>
      <c r="Y64" s="65"/>
      <c r="Z64" s="65"/>
      <c r="AJ64" s="152"/>
      <c r="AK64" s="152"/>
      <c r="AL64" s="152"/>
      <c r="AM64" s="152"/>
      <c r="AN64" s="152"/>
    </row>
    <row r="65" spans="1:40" x14ac:dyDescent="0.25">
      <c r="A65" s="153"/>
      <c r="B65" s="178" t="s">
        <v>484</v>
      </c>
      <c r="C65" s="475">
        <f>'Inputs and eligible population'!H71</f>
        <v>20</v>
      </c>
      <c r="D65" s="608">
        <f>D56*$C65/60</f>
        <v>3670.0594040416568</v>
      </c>
      <c r="E65" s="608">
        <f t="shared" si="29"/>
        <v>3699.4198792739908</v>
      </c>
      <c r="F65" s="608">
        <f t="shared" si="29"/>
        <v>3729.0152383081822</v>
      </c>
      <c r="G65" s="608">
        <f t="shared" si="29"/>
        <v>3758.8473602146478</v>
      </c>
      <c r="H65" s="608">
        <f t="shared" si="29"/>
        <v>3788.9181390963649</v>
      </c>
      <c r="I65" s="608">
        <f t="shared" si="29"/>
        <v>3819.229484209136</v>
      </c>
      <c r="J65" s="153"/>
      <c r="K65" s="743"/>
      <c r="L65" s="744"/>
      <c r="M65" s="744"/>
      <c r="N65" s="744"/>
      <c r="O65" s="744"/>
      <c r="P65" s="744"/>
      <c r="Q65" s="744"/>
      <c r="S65" s="65"/>
      <c r="T65" s="65"/>
      <c r="U65" s="65"/>
      <c r="V65" s="65"/>
      <c r="W65" s="65"/>
      <c r="X65" s="65"/>
      <c r="Y65" s="65"/>
      <c r="Z65" s="65"/>
      <c r="AJ65" s="152"/>
      <c r="AK65" s="152"/>
      <c r="AL65" s="152"/>
      <c r="AM65" s="152"/>
      <c r="AN65" s="152"/>
    </row>
    <row r="66" spans="1:40" x14ac:dyDescent="0.25">
      <c r="A66" s="153"/>
      <c r="B66" s="178" t="s">
        <v>851</v>
      </c>
      <c r="C66" s="475">
        <f>'Inputs and eligible population'!H72</f>
        <v>30</v>
      </c>
      <c r="D66" s="608">
        <f>D57*$C66/60</f>
        <v>5579.3017866785167</v>
      </c>
      <c r="E66" s="608">
        <f t="shared" si="29"/>
        <v>5623.9362009719453</v>
      </c>
      <c r="F66" s="608">
        <f t="shared" si="29"/>
        <v>5668.9276905797215</v>
      </c>
      <c r="G66" s="608">
        <f t="shared" si="29"/>
        <v>5714.2791121043592</v>
      </c>
      <c r="H66" s="608">
        <f t="shared" si="29"/>
        <v>5759.993345001194</v>
      </c>
      <c r="I66" s="608">
        <f t="shared" si="29"/>
        <v>5806.073291761204</v>
      </c>
      <c r="J66" s="153"/>
      <c r="K66" s="743"/>
      <c r="L66" s="744"/>
      <c r="M66" s="744"/>
      <c r="N66" s="744"/>
      <c r="O66" s="744"/>
      <c r="P66" s="744"/>
      <c r="Q66" s="744"/>
      <c r="S66" s="65"/>
      <c r="T66" s="65"/>
      <c r="U66" s="65"/>
      <c r="V66" s="65"/>
      <c r="W66" s="65"/>
      <c r="X66" s="65"/>
      <c r="Y66" s="65"/>
      <c r="Z66" s="65"/>
      <c r="AJ66" s="152"/>
      <c r="AK66" s="152"/>
      <c r="AL66" s="152"/>
      <c r="AM66" s="152"/>
      <c r="AN66" s="152"/>
    </row>
    <row r="67" spans="1:40" x14ac:dyDescent="0.25">
      <c r="A67" s="153"/>
      <c r="B67" s="703" t="s">
        <v>656</v>
      </c>
      <c r="C67" s="707"/>
      <c r="D67" s="469">
        <f t="shared" ref="D67:I67" si="30">SUM(D64:D66)</f>
        <v>11727.709082078327</v>
      </c>
      <c r="E67" s="469">
        <f t="shared" si="30"/>
        <v>11821.530754734955</v>
      </c>
      <c r="F67" s="469">
        <f t="shared" si="30"/>
        <v>11916.103000772837</v>
      </c>
      <c r="G67" s="469">
        <f t="shared" si="30"/>
        <v>12011.431824779018</v>
      </c>
      <c r="H67" s="469">
        <f t="shared" si="30"/>
        <v>12107.52327937725</v>
      </c>
      <c r="I67" s="469">
        <f t="shared" si="30"/>
        <v>12204.383465612269</v>
      </c>
      <c r="J67" s="153"/>
      <c r="K67" s="153"/>
      <c r="L67" s="466"/>
      <c r="M67" s="466"/>
      <c r="N67" s="466"/>
      <c r="O67" s="466"/>
      <c r="P67" s="466"/>
      <c r="Q67" s="466"/>
      <c r="S67" s="65"/>
      <c r="T67" s="65"/>
      <c r="U67" s="65"/>
      <c r="V67" s="65"/>
      <c r="W67" s="65"/>
      <c r="X67" s="65"/>
      <c r="Y67" s="65"/>
      <c r="Z67" s="65"/>
      <c r="AJ67" s="152"/>
      <c r="AK67" s="152"/>
      <c r="AL67" s="152"/>
      <c r="AM67" s="152"/>
      <c r="AN67" s="152"/>
    </row>
    <row r="68" spans="1:40" x14ac:dyDescent="0.25">
      <c r="A68" s="153"/>
      <c r="B68" s="161"/>
      <c r="C68" s="138"/>
      <c r="D68" s="704" t="s">
        <v>657</v>
      </c>
      <c r="E68" s="469">
        <f>E67-$D$67</f>
        <v>93.821672656627925</v>
      </c>
      <c r="F68" s="469">
        <f t="shared" ref="F68:I68" si="31">F67-$D$67</f>
        <v>188.39391869450992</v>
      </c>
      <c r="G68" s="469">
        <f t="shared" si="31"/>
        <v>283.72274270069101</v>
      </c>
      <c r="H68" s="469">
        <f t="shared" si="31"/>
        <v>379.81419729892332</v>
      </c>
      <c r="I68" s="469">
        <f t="shared" si="31"/>
        <v>476.67438353394209</v>
      </c>
      <c r="J68" s="153"/>
      <c r="K68" s="153"/>
      <c r="L68" s="708"/>
      <c r="M68" s="466"/>
      <c r="N68" s="466"/>
      <c r="O68" s="466"/>
      <c r="P68" s="466"/>
      <c r="Q68" s="466"/>
      <c r="S68" s="65"/>
      <c r="T68" s="65"/>
      <c r="U68" s="65"/>
      <c r="V68" s="65"/>
      <c r="W68" s="65"/>
      <c r="X68" s="65"/>
      <c r="Y68" s="65"/>
      <c r="Z68" s="65"/>
      <c r="AJ68" s="152"/>
      <c r="AK68" s="152"/>
      <c r="AL68" s="152"/>
      <c r="AM68" s="152"/>
      <c r="AN68" s="152"/>
    </row>
    <row r="69" spans="1:40" x14ac:dyDescent="0.25">
      <c r="A69" s="153"/>
      <c r="B69" s="169"/>
      <c r="C69" s="115"/>
      <c r="D69" s="115"/>
      <c r="E69" s="115"/>
      <c r="F69" s="115"/>
      <c r="G69" s="115"/>
      <c r="H69" s="115"/>
      <c r="I69" s="115"/>
      <c r="J69" s="115"/>
      <c r="K69" s="115"/>
      <c r="L69" s="115"/>
      <c r="M69" s="115"/>
      <c r="N69" s="115"/>
      <c r="O69" s="115"/>
      <c r="P69" s="115"/>
      <c r="Q69" s="115"/>
      <c r="S69" s="65"/>
      <c r="T69" s="65"/>
      <c r="U69" s="65"/>
      <c r="V69" s="65"/>
      <c r="W69" s="65"/>
      <c r="X69" s="65"/>
      <c r="Y69" s="65"/>
      <c r="Z69" s="65"/>
      <c r="AJ69" s="152"/>
      <c r="AK69" s="152"/>
      <c r="AL69" s="152"/>
      <c r="AM69" s="152"/>
      <c r="AN69" s="152"/>
    </row>
    <row r="70" spans="1:40" x14ac:dyDescent="0.25">
      <c r="A70" s="153"/>
      <c r="B70" s="153"/>
      <c r="C70" s="416"/>
      <c r="D70" s="417"/>
      <c r="E70" s="418"/>
      <c r="F70" s="418"/>
      <c r="G70" s="418"/>
      <c r="H70" s="418"/>
      <c r="I70" s="418"/>
      <c r="J70" s="153"/>
      <c r="K70" s="153"/>
      <c r="L70" s="419"/>
      <c r="M70" s="420"/>
      <c r="N70" s="420"/>
      <c r="O70" s="420"/>
      <c r="P70" s="420"/>
      <c r="Q70" s="420"/>
      <c r="R70" s="65"/>
      <c r="S70" s="65"/>
      <c r="T70" s="65"/>
      <c r="U70" s="65"/>
      <c r="V70" s="65"/>
      <c r="W70" s="65"/>
      <c r="X70" s="65"/>
      <c r="Y70" s="65"/>
      <c r="Z70" s="65"/>
      <c r="AJ70" s="152"/>
      <c r="AK70" s="152"/>
      <c r="AL70" s="152"/>
      <c r="AM70" s="152"/>
      <c r="AN70" s="152"/>
    </row>
    <row r="71" spans="1:40" x14ac:dyDescent="0.25">
      <c r="A71" s="153"/>
      <c r="B71" s="168" t="s">
        <v>787</v>
      </c>
      <c r="C71" s="157"/>
      <c r="D71" s="157"/>
      <c r="E71" s="158"/>
      <c r="F71" s="159"/>
      <c r="G71" s="160"/>
      <c r="H71" s="160"/>
      <c r="I71" s="160"/>
      <c r="J71" s="206"/>
      <c r="K71" s="153"/>
      <c r="L71" s="153"/>
      <c r="M71" s="153"/>
      <c r="N71" s="153"/>
      <c r="O71" s="153"/>
      <c r="P71" s="153"/>
      <c r="Q71" s="115"/>
      <c r="R71" s="65"/>
      <c r="S71" s="65"/>
      <c r="T71" s="65"/>
      <c r="U71" s="65"/>
      <c r="V71" s="65"/>
      <c r="W71" s="65"/>
      <c r="X71" s="65"/>
      <c r="Y71" s="65"/>
      <c r="Z71" s="65"/>
      <c r="AJ71" s="152"/>
      <c r="AK71" s="152"/>
      <c r="AL71" s="152"/>
      <c r="AM71" s="152"/>
      <c r="AN71" s="152"/>
    </row>
    <row r="72" spans="1:40" x14ac:dyDescent="0.25">
      <c r="A72" s="153"/>
      <c r="B72" s="415" t="s">
        <v>761</v>
      </c>
      <c r="C72" s="197"/>
      <c r="D72" s="197"/>
      <c r="E72" s="197"/>
      <c r="F72" s="197"/>
      <c r="G72" s="197"/>
      <c r="H72" s="197"/>
      <c r="I72" s="414"/>
      <c r="J72" s="205"/>
      <c r="K72" s="115"/>
      <c r="L72" s="204"/>
      <c r="M72" s="204"/>
      <c r="N72" s="204"/>
      <c r="O72" s="204"/>
      <c r="P72" s="204"/>
      <c r="Q72" s="204"/>
      <c r="R72" s="65"/>
      <c r="S72" s="65"/>
      <c r="T72" s="65"/>
      <c r="U72" s="65"/>
      <c r="V72" s="65"/>
      <c r="W72" s="65"/>
      <c r="X72" s="65"/>
      <c r="Y72" s="65"/>
      <c r="Z72" s="65"/>
      <c r="AJ72" s="152"/>
      <c r="AK72" s="152"/>
      <c r="AL72" s="152"/>
      <c r="AM72" s="152"/>
      <c r="AN72" s="152"/>
    </row>
    <row r="73" spans="1:40" ht="45" x14ac:dyDescent="0.25">
      <c r="A73" s="153"/>
      <c r="B73" s="667" t="s">
        <v>505</v>
      </c>
      <c r="C73" s="697" t="s">
        <v>784</v>
      </c>
      <c r="D73" s="674" t="s">
        <v>643</v>
      </c>
      <c r="E73" s="662" t="s">
        <v>434</v>
      </c>
      <c r="F73" s="662" t="s">
        <v>435</v>
      </c>
      <c r="G73" s="612" t="s">
        <v>613</v>
      </c>
      <c r="H73" s="612" t="s">
        <v>614</v>
      </c>
      <c r="I73" s="662" t="s">
        <v>615</v>
      </c>
      <c r="J73" s="153"/>
      <c r="K73" s="698"/>
      <c r="L73" s="674" t="s">
        <v>643</v>
      </c>
      <c r="M73" s="699" t="s">
        <v>434</v>
      </c>
      <c r="N73" s="699" t="s">
        <v>435</v>
      </c>
      <c r="O73" s="700" t="s">
        <v>613</v>
      </c>
      <c r="P73" s="700" t="s">
        <v>614</v>
      </c>
      <c r="Q73" s="699" t="s">
        <v>615</v>
      </c>
      <c r="R73" s="65"/>
      <c r="S73" s="65"/>
      <c r="T73" s="65"/>
      <c r="U73" s="65"/>
      <c r="V73" s="65"/>
      <c r="W73" s="65"/>
      <c r="X73" s="65"/>
      <c r="Y73" s="65"/>
      <c r="Z73" s="65"/>
      <c r="AJ73" s="152"/>
      <c r="AK73" s="152"/>
      <c r="AL73" s="152"/>
      <c r="AM73" s="152"/>
      <c r="AN73" s="152"/>
    </row>
    <row r="74" spans="1:40" x14ac:dyDescent="0.25">
      <c r="A74" s="153"/>
      <c r="B74" s="178" t="s">
        <v>660</v>
      </c>
      <c r="C74" s="475">
        <f>'Inputs and eligible population'!G69</f>
        <v>1</v>
      </c>
      <c r="D74" s="608">
        <f>'Interventions inputs'!L57*$C74</f>
        <v>0</v>
      </c>
      <c r="E74" s="608">
        <f>'Interventions inputs'!M57*$C74</f>
        <v>-37770.285770335642</v>
      </c>
      <c r="F74" s="608">
        <f>'Interventions inputs'!N57*$C74</f>
        <v>-57108.672084747501</v>
      </c>
      <c r="G74" s="608">
        <f>'Interventions inputs'!O57*$C74</f>
        <v>-76754.055281900641</v>
      </c>
      <c r="H74" s="608">
        <f>'Interventions inputs'!P57*$C74</f>
        <v>-96710.109655194814</v>
      </c>
      <c r="I74" s="608">
        <f>'Interventions inputs'!Q57*$C74</f>
        <v>-116980.54863892363</v>
      </c>
      <c r="J74" s="153"/>
      <c r="K74" s="690"/>
      <c r="L74" s="690">
        <f>$K74*D74/1000</f>
        <v>0</v>
      </c>
      <c r="M74" s="690">
        <f t="shared" ref="M74:Q74" si="32">$K74*E74/1000</f>
        <v>0</v>
      </c>
      <c r="N74" s="690">
        <f t="shared" si="32"/>
        <v>0</v>
      </c>
      <c r="O74" s="690">
        <f t="shared" si="32"/>
        <v>0</v>
      </c>
      <c r="P74" s="690">
        <f t="shared" si="32"/>
        <v>0</v>
      </c>
      <c r="Q74" s="690">
        <f t="shared" si="32"/>
        <v>0</v>
      </c>
      <c r="R74" s="65"/>
      <c r="S74" s="65"/>
      <c r="T74" s="65"/>
      <c r="U74" s="65"/>
      <c r="V74" s="65"/>
      <c r="W74" s="65"/>
      <c r="X74" s="65"/>
      <c r="Y74" s="65"/>
      <c r="Z74" s="65"/>
      <c r="AJ74" s="152"/>
      <c r="AK74" s="152"/>
      <c r="AL74" s="152"/>
      <c r="AM74" s="152"/>
      <c r="AN74" s="152"/>
    </row>
    <row r="75" spans="1:40" x14ac:dyDescent="0.25">
      <c r="A75" s="153"/>
      <c r="B75" s="703" t="s">
        <v>656</v>
      </c>
      <c r="C75" s="707"/>
      <c r="D75" s="469">
        <f t="shared" ref="D75:I75" si="33">SUM(D74:D74)</f>
        <v>0</v>
      </c>
      <c r="E75" s="469">
        <f t="shared" si="33"/>
        <v>-37770.285770335642</v>
      </c>
      <c r="F75" s="469">
        <f t="shared" si="33"/>
        <v>-57108.672084747501</v>
      </c>
      <c r="G75" s="469">
        <f t="shared" si="33"/>
        <v>-76754.055281900641</v>
      </c>
      <c r="H75" s="469">
        <f t="shared" si="33"/>
        <v>-96710.109655194814</v>
      </c>
      <c r="I75" s="469">
        <f t="shared" si="33"/>
        <v>-116980.54863892363</v>
      </c>
      <c r="J75" s="153"/>
      <c r="K75" s="153"/>
      <c r="L75" s="686">
        <f>L74</f>
        <v>0</v>
      </c>
      <c r="M75" s="686">
        <f t="shared" ref="M75:Q75" si="34">M74</f>
        <v>0</v>
      </c>
      <c r="N75" s="686">
        <f t="shared" si="34"/>
        <v>0</v>
      </c>
      <c r="O75" s="686">
        <f t="shared" si="34"/>
        <v>0</v>
      </c>
      <c r="P75" s="686">
        <f t="shared" si="34"/>
        <v>0</v>
      </c>
      <c r="Q75" s="686">
        <f t="shared" si="34"/>
        <v>0</v>
      </c>
      <c r="R75" s="65"/>
      <c r="S75" s="65"/>
      <c r="T75" s="65"/>
      <c r="U75" s="65"/>
      <c r="V75" s="65"/>
      <c r="W75" s="65"/>
      <c r="X75" s="65"/>
      <c r="Y75" s="65"/>
      <c r="Z75" s="65"/>
      <c r="AJ75" s="152"/>
      <c r="AK75" s="152"/>
      <c r="AL75" s="152"/>
      <c r="AM75" s="152"/>
      <c r="AN75" s="152"/>
    </row>
    <row r="76" spans="1:40" x14ac:dyDescent="0.25">
      <c r="A76" s="153"/>
      <c r="B76" s="161"/>
      <c r="C76" s="138"/>
      <c r="D76" s="704" t="s">
        <v>657</v>
      </c>
      <c r="E76" s="469">
        <f>E75-$D$75</f>
        <v>-37770.285770335642</v>
      </c>
      <c r="F76" s="469">
        <f t="shared" ref="F76:I76" si="35">F75-$D$75</f>
        <v>-57108.672084747501</v>
      </c>
      <c r="G76" s="469">
        <f t="shared" si="35"/>
        <v>-76754.055281900641</v>
      </c>
      <c r="H76" s="469">
        <f t="shared" si="35"/>
        <v>-96710.109655194814</v>
      </c>
      <c r="I76" s="469">
        <f t="shared" si="35"/>
        <v>-116980.54863892363</v>
      </c>
      <c r="J76" s="153"/>
      <c r="K76" s="153"/>
      <c r="L76" s="708"/>
      <c r="M76" s="686">
        <f>M75-$L$75</f>
        <v>0</v>
      </c>
      <c r="N76" s="686">
        <f t="shared" ref="N76:Q76" si="36">N75-$L$75</f>
        <v>0</v>
      </c>
      <c r="O76" s="686">
        <f t="shared" si="36"/>
        <v>0</v>
      </c>
      <c r="P76" s="686">
        <f t="shared" si="36"/>
        <v>0</v>
      </c>
      <c r="Q76" s="686">
        <f t="shared" si="36"/>
        <v>0</v>
      </c>
      <c r="R76" s="65"/>
      <c r="S76" s="65"/>
      <c r="T76" s="65"/>
      <c r="U76" s="65"/>
      <c r="V76" s="65"/>
      <c r="W76" s="65"/>
      <c r="X76" s="65"/>
      <c r="Y76" s="65"/>
      <c r="Z76" s="65"/>
      <c r="AJ76" s="152"/>
      <c r="AK76" s="152"/>
      <c r="AL76" s="152"/>
      <c r="AM76" s="152"/>
      <c r="AN76" s="152"/>
    </row>
    <row r="77" spans="1:40" x14ac:dyDescent="0.25">
      <c r="A77" s="153"/>
      <c r="B77" s="153"/>
      <c r="C77" s="416"/>
      <c r="D77" s="417"/>
      <c r="E77" s="418"/>
      <c r="F77" s="418"/>
      <c r="G77" s="418"/>
      <c r="H77" s="418"/>
      <c r="I77" s="418"/>
      <c r="J77" s="153"/>
      <c r="K77" s="153"/>
      <c r="L77" s="419"/>
      <c r="M77" s="420"/>
      <c r="N77" s="420"/>
      <c r="O77" s="420"/>
      <c r="P77" s="420"/>
      <c r="Q77" s="420"/>
      <c r="R77" s="65"/>
      <c r="S77" s="65"/>
      <c r="T77" s="65"/>
      <c r="U77" s="65"/>
      <c r="V77" s="65"/>
      <c r="W77" s="65"/>
      <c r="X77" s="65"/>
      <c r="Y77" s="65"/>
      <c r="Z77" s="65"/>
      <c r="AJ77" s="152"/>
      <c r="AK77" s="152"/>
      <c r="AL77" s="152"/>
      <c r="AM77" s="152"/>
      <c r="AN77" s="152"/>
    </row>
    <row r="78" spans="1:40" x14ac:dyDescent="0.25">
      <c r="A78" s="153"/>
      <c r="B78" s="153"/>
      <c r="C78" s="416"/>
      <c r="D78" s="417"/>
      <c r="E78" s="418"/>
      <c r="F78" s="418"/>
      <c r="G78" s="418"/>
      <c r="H78" s="418"/>
      <c r="I78" s="418"/>
      <c r="J78" s="153"/>
      <c r="K78" s="153"/>
      <c r="L78" s="419"/>
      <c r="M78" s="420"/>
      <c r="N78" s="420"/>
      <c r="O78" s="420"/>
      <c r="P78" s="420"/>
      <c r="Q78" s="420"/>
      <c r="R78" s="65"/>
      <c r="S78" s="65"/>
      <c r="T78" s="65"/>
      <c r="U78" s="65"/>
      <c r="V78" s="65"/>
      <c r="W78" s="65"/>
      <c r="X78" s="65"/>
      <c r="Y78" s="65"/>
      <c r="Z78" s="65"/>
      <c r="AJ78" s="152"/>
      <c r="AK78" s="152"/>
      <c r="AL78" s="152"/>
      <c r="AM78" s="152"/>
      <c r="AN78" s="152"/>
    </row>
    <row r="79" spans="1:40" x14ac:dyDescent="0.25">
      <c r="A79" s="153"/>
      <c r="B79" s="169"/>
      <c r="C79" s="115"/>
      <c r="D79" s="115"/>
      <c r="E79" s="115"/>
      <c r="F79" s="115"/>
      <c r="G79" s="115"/>
      <c r="H79" s="115"/>
      <c r="I79" s="115"/>
      <c r="J79" s="153"/>
      <c r="K79" s="153"/>
      <c r="L79" s="115"/>
      <c r="M79" s="115"/>
      <c r="N79" s="115"/>
      <c r="O79" s="115"/>
      <c r="P79" s="115"/>
      <c r="Q79" s="115"/>
      <c r="R79" s="65"/>
      <c r="S79" s="65"/>
      <c r="T79" s="65"/>
      <c r="U79" s="65"/>
      <c r="V79" s="65"/>
      <c r="W79" s="65"/>
      <c r="X79" s="65"/>
      <c r="Y79" s="65"/>
      <c r="Z79" s="65"/>
      <c r="AJ79" s="152"/>
      <c r="AK79" s="152"/>
      <c r="AL79" s="152"/>
      <c r="AM79" s="152"/>
      <c r="AN79" s="152"/>
    </row>
    <row r="80" spans="1:40" x14ac:dyDescent="0.25">
      <c r="A80" s="155"/>
      <c r="B80" s="170" t="s">
        <v>661</v>
      </c>
      <c r="C80" s="162"/>
      <c r="D80" s="163"/>
      <c r="E80" s="164"/>
      <c r="F80" s="165"/>
      <c r="G80" s="165"/>
      <c r="H80" s="165"/>
      <c r="I80" s="693"/>
      <c r="J80" s="209"/>
      <c r="K80" s="155"/>
      <c r="L80" s="155"/>
      <c r="M80" s="155"/>
      <c r="N80" s="155"/>
      <c r="O80" s="155"/>
      <c r="P80" s="155"/>
      <c r="Q80" s="155"/>
      <c r="R80" s="65"/>
      <c r="S80" s="65"/>
      <c r="T80" s="65"/>
      <c r="U80" s="65"/>
      <c r="V80" s="65"/>
      <c r="W80" s="65"/>
      <c r="X80" s="65"/>
      <c r="Y80" s="65"/>
      <c r="Z80" s="65"/>
      <c r="AJ80" s="152"/>
      <c r="AK80" s="152"/>
      <c r="AL80" s="152"/>
      <c r="AM80" s="152"/>
      <c r="AN80" s="152"/>
    </row>
    <row r="81" spans="1:40" x14ac:dyDescent="0.25">
      <c r="A81" s="155"/>
      <c r="B81" s="199" t="s">
        <v>662</v>
      </c>
      <c r="C81" s="200"/>
      <c r="D81" s="200"/>
      <c r="E81" s="200"/>
      <c r="F81" s="200"/>
      <c r="G81" s="200"/>
      <c r="H81" s="200"/>
      <c r="I81" s="709"/>
      <c r="J81" s="207"/>
      <c r="K81" s="207"/>
      <c r="L81" s="208"/>
      <c r="M81" s="208"/>
      <c r="N81" s="208"/>
      <c r="O81" s="208"/>
      <c r="P81" s="208"/>
      <c r="Q81" s="208"/>
      <c r="R81" s="65"/>
      <c r="S81" s="65"/>
      <c r="T81" s="65"/>
      <c r="U81" s="65"/>
      <c r="V81" s="65"/>
      <c r="W81" s="65"/>
      <c r="X81" s="65"/>
      <c r="Y81" s="65"/>
      <c r="Z81" s="65"/>
      <c r="AJ81" s="152"/>
      <c r="AK81" s="152"/>
      <c r="AL81" s="152"/>
      <c r="AM81" s="152"/>
      <c r="AN81" s="152"/>
    </row>
    <row r="82" spans="1:40" ht="45" x14ac:dyDescent="0.25">
      <c r="A82" s="155"/>
      <c r="B82" s="148" t="s">
        <v>505</v>
      </c>
      <c r="C82" s="506"/>
      <c r="D82" s="674" t="s">
        <v>643</v>
      </c>
      <c r="E82" s="662" t="s">
        <v>434</v>
      </c>
      <c r="F82" s="662" t="s">
        <v>435</v>
      </c>
      <c r="G82" s="612" t="s">
        <v>613</v>
      </c>
      <c r="H82" s="612" t="s">
        <v>614</v>
      </c>
      <c r="I82" s="662" t="s">
        <v>615</v>
      </c>
      <c r="J82" s="155"/>
      <c r="K82" s="698" t="s">
        <v>663</v>
      </c>
      <c r="L82" s="674" t="s">
        <v>643</v>
      </c>
      <c r="M82" s="662" t="s">
        <v>434</v>
      </c>
      <c r="N82" s="662" t="s">
        <v>435</v>
      </c>
      <c r="O82" s="612" t="s">
        <v>613</v>
      </c>
      <c r="P82" s="612" t="s">
        <v>614</v>
      </c>
      <c r="Q82" s="662" t="s">
        <v>615</v>
      </c>
      <c r="R82" s="65"/>
      <c r="S82" s="65"/>
      <c r="T82" s="65"/>
      <c r="U82" s="65"/>
      <c r="V82" s="65"/>
      <c r="W82" s="65"/>
      <c r="X82" s="65"/>
      <c r="Y82" s="65"/>
      <c r="Z82" s="65"/>
      <c r="AJ82" s="152"/>
      <c r="AK82" s="152"/>
      <c r="AL82" s="152"/>
      <c r="AM82" s="152"/>
      <c r="AN82" s="152"/>
    </row>
    <row r="83" spans="1:40" x14ac:dyDescent="0.25">
      <c r="A83" s="155"/>
      <c r="B83" s="135" t="s">
        <v>664</v>
      </c>
      <c r="C83" s="389"/>
      <c r="D83" s="608"/>
      <c r="E83" s="608">
        <f>-'Interventions inputs'!M86*'Unit costs'!$E$49</f>
        <v>-73.685788088765776</v>
      </c>
      <c r="F83" s="608">
        <f>-'Interventions inputs'!N86*'Unit costs'!$E$49</f>
        <v>-61.648477746584987</v>
      </c>
      <c r="G83" s="608">
        <f>-'Interventions inputs'!O86*'Unit costs'!$E$49</f>
        <v>-51.577582421902733</v>
      </c>
      <c r="H83" s="608">
        <f>-'Interventions inputs'!P86*'Unit costs'!$E$49</f>
        <v>-43.151868557460823</v>
      </c>
      <c r="I83" s="608">
        <f>-'Interventions inputs'!Q86*'Unit costs'!$E$49</f>
        <v>-36.10257930991402</v>
      </c>
      <c r="J83" s="155"/>
      <c r="K83" s="706">
        <f>'Unit costs'!G49</f>
        <v>289</v>
      </c>
      <c r="L83" s="690">
        <f>(D83*$K83)/1000</f>
        <v>0</v>
      </c>
      <c r="M83" s="690">
        <f t="shared" ref="M83:Q83" si="37">(E83*$K83)/1000</f>
        <v>-21.295192757653307</v>
      </c>
      <c r="N83" s="690">
        <f t="shared" si="37"/>
        <v>-17.816410068763059</v>
      </c>
      <c r="O83" s="690">
        <f t="shared" si="37"/>
        <v>-14.90592131992989</v>
      </c>
      <c r="P83" s="690">
        <f t="shared" si="37"/>
        <v>-12.470890013106178</v>
      </c>
      <c r="Q83" s="690">
        <f t="shared" si="37"/>
        <v>-10.433645420565151</v>
      </c>
      <c r="R83" s="65"/>
      <c r="S83" s="65"/>
      <c r="T83" s="65"/>
      <c r="U83" s="65"/>
      <c r="V83" s="65"/>
      <c r="W83" s="65"/>
      <c r="X83" s="65"/>
      <c r="Y83" s="65"/>
      <c r="Z83" s="65"/>
      <c r="AJ83" s="152"/>
      <c r="AK83" s="152"/>
      <c r="AL83" s="152"/>
      <c r="AM83" s="152"/>
      <c r="AN83" s="152"/>
    </row>
    <row r="84" spans="1:40" x14ac:dyDescent="0.25">
      <c r="A84" s="155"/>
      <c r="B84" s="149"/>
      <c r="C84" s="506"/>
      <c r="D84" s="469">
        <f t="shared" ref="D84:I84" si="38">SUM(D83:D83)</f>
        <v>0</v>
      </c>
      <c r="E84" s="469">
        <f t="shared" si="38"/>
        <v>-73.685788088765776</v>
      </c>
      <c r="F84" s="469">
        <f t="shared" si="38"/>
        <v>-61.648477746584987</v>
      </c>
      <c r="G84" s="469">
        <f t="shared" si="38"/>
        <v>-51.577582421902733</v>
      </c>
      <c r="H84" s="469">
        <f t="shared" si="38"/>
        <v>-43.151868557460823</v>
      </c>
      <c r="I84" s="469">
        <f t="shared" si="38"/>
        <v>-36.10257930991402</v>
      </c>
      <c r="J84" s="155"/>
      <c r="K84" s="155"/>
      <c r="L84" s="686">
        <f t="shared" ref="L84:Q84" si="39">SUM(L83:L83)</f>
        <v>0</v>
      </c>
      <c r="M84" s="686">
        <f t="shared" si="39"/>
        <v>-21.295192757653307</v>
      </c>
      <c r="N84" s="686">
        <f t="shared" si="39"/>
        <v>-17.816410068763059</v>
      </c>
      <c r="O84" s="686">
        <f t="shared" si="39"/>
        <v>-14.90592131992989</v>
      </c>
      <c r="P84" s="686">
        <f t="shared" si="39"/>
        <v>-12.470890013106178</v>
      </c>
      <c r="Q84" s="686">
        <f t="shared" si="39"/>
        <v>-10.433645420565151</v>
      </c>
      <c r="R84" s="65"/>
      <c r="S84" s="65"/>
      <c r="T84" s="65"/>
      <c r="U84" s="65"/>
      <c r="V84" s="65"/>
      <c r="W84" s="65"/>
      <c r="X84" s="65"/>
      <c r="Y84" s="65"/>
      <c r="Z84" s="65"/>
      <c r="AJ84" s="152"/>
      <c r="AK84" s="152"/>
      <c r="AL84" s="152"/>
      <c r="AM84" s="152"/>
      <c r="AN84" s="152"/>
    </row>
    <row r="85" spans="1:40" x14ac:dyDescent="0.25">
      <c r="A85" s="155"/>
      <c r="B85" s="161"/>
      <c r="C85" s="506"/>
      <c r="D85" s="704" t="s">
        <v>665</v>
      </c>
      <c r="E85" s="469">
        <f>E84-$D$84</f>
        <v>-73.685788088765776</v>
      </c>
      <c r="F85" s="469">
        <f>F84-$D$84</f>
        <v>-61.648477746584987</v>
      </c>
      <c r="G85" s="469">
        <f>G84-$D$84</f>
        <v>-51.577582421902733</v>
      </c>
      <c r="H85" s="469">
        <f>H84-$D$84</f>
        <v>-43.151868557460823</v>
      </c>
      <c r="I85" s="469">
        <f>I84-$D$84</f>
        <v>-36.10257930991402</v>
      </c>
      <c r="J85" s="155"/>
      <c r="K85" s="155"/>
      <c r="L85" s="710"/>
      <c r="M85" s="686">
        <f>M84-$L$84</f>
        <v>-21.295192757653307</v>
      </c>
      <c r="N85" s="686">
        <f t="shared" ref="N85:Q85" si="40">N84-$L$84</f>
        <v>-17.816410068763059</v>
      </c>
      <c r="O85" s="686">
        <f t="shared" si="40"/>
        <v>-14.90592131992989</v>
      </c>
      <c r="P85" s="686">
        <f t="shared" si="40"/>
        <v>-12.470890013106178</v>
      </c>
      <c r="Q85" s="686">
        <f t="shared" si="40"/>
        <v>-10.433645420565151</v>
      </c>
    </row>
    <row r="86" spans="1:40" x14ac:dyDescent="0.25">
      <c r="A86" s="155"/>
      <c r="B86" s="155"/>
      <c r="C86" s="155"/>
      <c r="D86" s="155"/>
      <c r="E86" s="155"/>
      <c r="F86" s="155"/>
      <c r="G86" s="155"/>
      <c r="H86" s="155"/>
      <c r="I86" s="155"/>
      <c r="J86" s="155"/>
      <c r="K86" s="155"/>
      <c r="L86" s="155"/>
      <c r="M86" s="155"/>
      <c r="N86" s="155"/>
      <c r="O86" s="155"/>
      <c r="P86" s="155"/>
      <c r="Q86" s="155"/>
    </row>
    <row r="87" spans="1:40" x14ac:dyDescent="0.25">
      <c r="A87" s="155"/>
      <c r="B87" s="170" t="s">
        <v>939</v>
      </c>
      <c r="C87" s="162"/>
      <c r="D87" s="163"/>
      <c r="E87" s="164"/>
      <c r="F87" s="165"/>
      <c r="G87" s="165"/>
      <c r="H87" s="165"/>
      <c r="I87" s="693"/>
      <c r="J87" s="209"/>
      <c r="K87" s="155"/>
      <c r="L87" s="155"/>
      <c r="M87" s="155"/>
      <c r="N87" s="155"/>
      <c r="O87" s="155"/>
      <c r="P87" s="155"/>
      <c r="Q87" s="155"/>
    </row>
    <row r="88" spans="1:40" x14ac:dyDescent="0.25">
      <c r="A88" s="155"/>
      <c r="B88" s="199" t="s">
        <v>662</v>
      </c>
      <c r="C88" s="200"/>
      <c r="D88" s="200"/>
      <c r="E88" s="200"/>
      <c r="F88" s="200"/>
      <c r="G88" s="200"/>
      <c r="H88" s="200"/>
      <c r="I88" s="709"/>
      <c r="J88" s="207"/>
      <c r="K88" s="207"/>
      <c r="L88" s="208"/>
      <c r="M88" s="208"/>
      <c r="N88" s="208"/>
      <c r="O88" s="208"/>
      <c r="P88" s="208"/>
      <c r="Q88" s="208"/>
    </row>
    <row r="89" spans="1:40" ht="45" x14ac:dyDescent="0.25">
      <c r="A89" s="155"/>
      <c r="B89" s="148" t="s">
        <v>505</v>
      </c>
      <c r="C89" s="506"/>
      <c r="D89" s="674" t="s">
        <v>643</v>
      </c>
      <c r="E89" s="662" t="s">
        <v>434</v>
      </c>
      <c r="F89" s="662" t="s">
        <v>435</v>
      </c>
      <c r="G89" s="612" t="s">
        <v>613</v>
      </c>
      <c r="H89" s="612" t="s">
        <v>614</v>
      </c>
      <c r="I89" s="662" t="s">
        <v>615</v>
      </c>
      <c r="J89" s="155"/>
      <c r="K89" s="698" t="s">
        <v>663</v>
      </c>
      <c r="L89" s="674" t="s">
        <v>643</v>
      </c>
      <c r="M89" s="662" t="s">
        <v>434</v>
      </c>
      <c r="N89" s="662" t="s">
        <v>435</v>
      </c>
      <c r="O89" s="612" t="s">
        <v>613</v>
      </c>
      <c r="P89" s="612" t="s">
        <v>614</v>
      </c>
      <c r="Q89" s="662" t="s">
        <v>615</v>
      </c>
    </row>
    <row r="90" spans="1:40" x14ac:dyDescent="0.25">
      <c r="A90" s="155"/>
      <c r="B90" s="135" t="s">
        <v>940</v>
      </c>
      <c r="C90" s="389"/>
      <c r="D90" s="608"/>
      <c r="E90" s="608">
        <f>-'Interventions inputs'!M92*'Unit costs'!$E$50</f>
        <v>-485.15684599004504</v>
      </c>
      <c r="F90" s="608">
        <f>-'Interventions inputs'!N92*'Unit costs'!$E$50</f>
        <v>-451.03984032907181</v>
      </c>
      <c r="G90" s="608">
        <f>-'Interventions inputs'!O92*'Unit costs'!$E$50</f>
        <v>-419.32199709338681</v>
      </c>
      <c r="H90" s="608">
        <f>-'Interventions inputs'!P92*'Unit costs'!$E$50</f>
        <v>-389.8346033425845</v>
      </c>
      <c r="I90" s="608">
        <f>-'Interventions inputs'!Q92*'Unit costs'!$E$50</f>
        <v>-362.42081030016863</v>
      </c>
      <c r="J90" s="155"/>
      <c r="K90" s="706">
        <f>'Unit costs'!G50</f>
        <v>182</v>
      </c>
      <c r="L90" s="690">
        <f>(D90*$K90)/1000</f>
        <v>0</v>
      </c>
      <c r="M90" s="690">
        <f t="shared" ref="M90:Q91" si="41">(E90*$K90)/1000</f>
        <v>-88.298545970188187</v>
      </c>
      <c r="N90" s="690">
        <f t="shared" si="41"/>
        <v>-82.089250939891059</v>
      </c>
      <c r="O90" s="690">
        <f t="shared" si="41"/>
        <v>-76.316603470996398</v>
      </c>
      <c r="P90" s="690">
        <f t="shared" si="41"/>
        <v>-70.949897808350372</v>
      </c>
      <c r="Q90" s="690">
        <f t="shared" si="41"/>
        <v>-65.960587474630699</v>
      </c>
    </row>
    <row r="91" spans="1:40" x14ac:dyDescent="0.25">
      <c r="A91" s="155"/>
      <c r="B91" s="135" t="s">
        <v>1056</v>
      </c>
      <c r="C91" s="389"/>
      <c r="D91" s="608"/>
      <c r="E91" s="615">
        <f>-'Interventions inputs'!M95*'Unit costs'!$E$51</f>
        <v>0</v>
      </c>
      <c r="F91" s="615">
        <f>-'Interventions inputs'!N95*'Unit costs'!$E$51</f>
        <v>0</v>
      </c>
      <c r="G91" s="615">
        <f>-'Interventions inputs'!O95*'Unit costs'!$E$51</f>
        <v>0</v>
      </c>
      <c r="H91" s="615">
        <f>-'Interventions inputs'!P95*'Unit costs'!$E$51</f>
        <v>0</v>
      </c>
      <c r="I91" s="615">
        <f>-'Interventions inputs'!Q95*'Unit costs'!$E$51</f>
        <v>0</v>
      </c>
      <c r="J91" s="155"/>
      <c r="K91" s="706">
        <f>'Unit costs'!G51</f>
        <v>289</v>
      </c>
      <c r="L91" s="690">
        <f>(D91*$K91)/1000</f>
        <v>0</v>
      </c>
      <c r="M91" s="690">
        <f t="shared" si="41"/>
        <v>0</v>
      </c>
      <c r="N91" s="690">
        <f t="shared" si="41"/>
        <v>0</v>
      </c>
      <c r="O91" s="690">
        <f t="shared" si="41"/>
        <v>0</v>
      </c>
      <c r="P91" s="690">
        <f t="shared" si="41"/>
        <v>0</v>
      </c>
      <c r="Q91" s="690">
        <f t="shared" si="41"/>
        <v>0</v>
      </c>
    </row>
    <row r="92" spans="1:40" x14ac:dyDescent="0.25">
      <c r="A92" s="155"/>
      <c r="B92" s="149"/>
      <c r="C92" s="506"/>
      <c r="D92" s="469">
        <f>SUM(D90:D91)</f>
        <v>0</v>
      </c>
      <c r="E92" s="469">
        <f t="shared" ref="E92:I92" si="42">SUM(E90:E91)</f>
        <v>-485.15684599004504</v>
      </c>
      <c r="F92" s="469">
        <f t="shared" si="42"/>
        <v>-451.03984032907181</v>
      </c>
      <c r="G92" s="469">
        <f t="shared" si="42"/>
        <v>-419.32199709338681</v>
      </c>
      <c r="H92" s="469">
        <f t="shared" si="42"/>
        <v>-389.8346033425845</v>
      </c>
      <c r="I92" s="469">
        <f t="shared" si="42"/>
        <v>-362.42081030016863</v>
      </c>
      <c r="J92" s="155"/>
      <c r="K92" s="155"/>
      <c r="L92" s="686">
        <f>SUM(L90:L91)</f>
        <v>0</v>
      </c>
      <c r="M92" s="686">
        <f t="shared" ref="M92:Q92" si="43">SUM(M90:M91)</f>
        <v>-88.298545970188187</v>
      </c>
      <c r="N92" s="686">
        <f t="shared" si="43"/>
        <v>-82.089250939891059</v>
      </c>
      <c r="O92" s="686">
        <f t="shared" si="43"/>
        <v>-76.316603470996398</v>
      </c>
      <c r="P92" s="686">
        <f t="shared" si="43"/>
        <v>-70.949897808350372</v>
      </c>
      <c r="Q92" s="686">
        <f t="shared" si="43"/>
        <v>-65.960587474630699</v>
      </c>
    </row>
    <row r="93" spans="1:40" x14ac:dyDescent="0.25">
      <c r="A93" s="155"/>
      <c r="B93" s="161"/>
      <c r="C93" s="506"/>
      <c r="D93" s="704" t="s">
        <v>941</v>
      </c>
      <c r="E93" s="469">
        <f>E92-$D$92</f>
        <v>-485.15684599004504</v>
      </c>
      <c r="F93" s="469">
        <f t="shared" ref="F93:I93" si="44">F92-$D$92</f>
        <v>-451.03984032907181</v>
      </c>
      <c r="G93" s="469">
        <f t="shared" si="44"/>
        <v>-419.32199709338681</v>
      </c>
      <c r="H93" s="469">
        <f t="shared" si="44"/>
        <v>-389.8346033425845</v>
      </c>
      <c r="I93" s="469">
        <f t="shared" si="44"/>
        <v>-362.42081030016863</v>
      </c>
      <c r="J93" s="155"/>
      <c r="K93" s="155"/>
      <c r="L93" s="710"/>
      <c r="M93" s="686">
        <f>M92-$L$92</f>
        <v>-88.298545970188187</v>
      </c>
      <c r="N93" s="686">
        <f t="shared" ref="N93:Q93" si="45">N92-$L$92</f>
        <v>-82.089250939891059</v>
      </c>
      <c r="O93" s="686">
        <f t="shared" si="45"/>
        <v>-76.316603470996398</v>
      </c>
      <c r="P93" s="686">
        <f t="shared" si="45"/>
        <v>-70.949897808350372</v>
      </c>
      <c r="Q93" s="686">
        <f t="shared" si="45"/>
        <v>-65.960587474630699</v>
      </c>
    </row>
    <row r="94" spans="1:40" x14ac:dyDescent="0.25">
      <c r="A94" s="155"/>
      <c r="B94" s="155"/>
      <c r="C94" s="155"/>
      <c r="D94" s="155"/>
      <c r="E94" s="155"/>
      <c r="F94" s="155"/>
      <c r="G94" s="155"/>
      <c r="H94" s="155"/>
      <c r="I94" s="155"/>
      <c r="J94" s="155"/>
      <c r="K94" s="155"/>
      <c r="L94" s="155"/>
      <c r="M94" s="155"/>
      <c r="N94" s="155"/>
      <c r="O94" s="155"/>
      <c r="P94" s="155"/>
      <c r="Q94" s="155"/>
    </row>
  </sheetData>
  <sheetProtection algorithmName="SHA-512" hashValue="SCIOnCwmki436BK/0AeK7NbixJNUMhMyFRbXJzhfituJcKZ9A0zqNwsb6N4lGbqgfoKF3ogarxlc+04s1UAvXw==" saltValue="MVBztTJCQN0KhkADiFSzjw==" spinCount="100000" sheet="1" objects="1" scenarios="1"/>
  <protectedRanges>
    <protectedRange sqref="B90" name="Range1_2"/>
    <protectedRange sqref="B91" name="Range1_1_1"/>
    <protectedRange sqref="E91:I91" name="Range3_1"/>
  </protectedRanges>
  <pageMargins left="0.70866141732283472" right="0.70866141732283472" top="0.74803149606299213" bottom="0.74803149606299213" header="0.31496062992125984" footer="0.31496062992125984"/>
  <pageSetup paperSize="9" scale="34" fitToHeight="0" orientation="portrait" horizontalDpi="4294967293" r:id="rId1"/>
  <rowBreaks count="1" manualBreakCount="1">
    <brk id="94" min="1" max="17"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65B90-BC26-40CB-A75F-C586EFF0DBC3}">
  <sheetPr>
    <tabColor theme="1"/>
  </sheetPr>
  <dimension ref="A1:Y105"/>
  <sheetViews>
    <sheetView zoomScale="80" zoomScaleNormal="80" workbookViewId="0">
      <selection activeCell="C12" sqref="C12"/>
    </sheetView>
  </sheetViews>
  <sheetFormatPr defaultColWidth="8.5703125" defaultRowHeight="15" x14ac:dyDescent="0.25"/>
  <cols>
    <col min="1" max="1" width="13.5703125" customWidth="1"/>
    <col min="2" max="2" width="41.140625" customWidth="1"/>
    <col min="3" max="3" width="13.85546875" customWidth="1"/>
    <col min="4" max="4" width="12.7109375" customWidth="1"/>
    <col min="5" max="6" width="11.85546875" customWidth="1"/>
    <col min="7" max="7" width="10.42578125" style="236" customWidth="1"/>
    <col min="8" max="8" width="11.85546875" customWidth="1"/>
    <col min="9" max="9" width="12.5703125" customWidth="1"/>
    <col min="10" max="10" width="10.140625" customWidth="1"/>
    <col min="11" max="13" width="9" customWidth="1"/>
    <col min="14" max="14" width="8.42578125" customWidth="1"/>
    <col min="15" max="15" width="18.7109375" hidden="1" customWidth="1"/>
    <col min="16" max="16" width="21.42578125" hidden="1" customWidth="1"/>
    <col min="17" max="17" width="16.42578125" hidden="1" customWidth="1"/>
    <col min="18" max="19" width="22" hidden="1" customWidth="1"/>
    <col min="20" max="20" width="18" hidden="1" customWidth="1"/>
    <col min="21" max="22" width="8.5703125" customWidth="1"/>
    <col min="23" max="23" width="47.28515625" bestFit="1" customWidth="1"/>
    <col min="24" max="24" width="10" customWidth="1"/>
    <col min="25" max="31" width="8.5703125" bestFit="1" customWidth="1"/>
  </cols>
  <sheetData>
    <row r="1" spans="1:25" ht="29.1" customHeight="1" x14ac:dyDescent="0.25">
      <c r="A1" s="856" t="s">
        <v>963</v>
      </c>
      <c r="B1" s="856"/>
      <c r="C1" s="856"/>
      <c r="D1" s="856"/>
      <c r="E1" s="856"/>
      <c r="F1" s="856"/>
      <c r="G1" s="856"/>
      <c r="H1" s="856"/>
      <c r="I1" s="856"/>
      <c r="J1" s="856"/>
      <c r="K1" s="856"/>
      <c r="L1" s="856"/>
      <c r="M1" s="856"/>
    </row>
    <row r="2" spans="1:25" ht="21" thickBot="1" x14ac:dyDescent="0.3">
      <c r="A2" s="61"/>
      <c r="B2" s="61"/>
      <c r="C2" s="61"/>
      <c r="D2" s="61"/>
      <c r="E2" s="61"/>
      <c r="F2" s="61"/>
      <c r="G2" s="61"/>
      <c r="H2" s="61"/>
      <c r="I2" s="61"/>
      <c r="J2" s="61"/>
      <c r="K2" s="61"/>
      <c r="L2" s="61"/>
      <c r="M2" s="61"/>
    </row>
    <row r="3" spans="1:25" ht="15" customHeight="1" x14ac:dyDescent="0.25">
      <c r="A3" s="61"/>
      <c r="B3" s="857" t="s">
        <v>37</v>
      </c>
      <c r="C3" s="858"/>
      <c r="D3" s="61"/>
      <c r="E3" s="61"/>
      <c r="F3" s="61"/>
      <c r="G3" s="61"/>
      <c r="H3" s="61"/>
      <c r="I3" s="61"/>
      <c r="J3" s="61"/>
      <c r="K3" s="61"/>
      <c r="L3" s="61"/>
      <c r="M3" s="61"/>
    </row>
    <row r="4" spans="1:25" ht="15" customHeight="1" x14ac:dyDescent="0.25">
      <c r="A4" s="61"/>
      <c r="B4" s="859" t="s">
        <v>964</v>
      </c>
      <c r="C4" s="952" t="s">
        <v>1060</v>
      </c>
      <c r="D4" s="860" t="s">
        <v>1073</v>
      </c>
      <c r="E4" s="61"/>
      <c r="F4" s="61"/>
      <c r="G4" s="61"/>
      <c r="H4" s="61"/>
      <c r="I4" s="61"/>
      <c r="J4" s="61"/>
      <c r="K4" s="61"/>
      <c r="L4" s="61"/>
      <c r="M4" s="61"/>
    </row>
    <row r="5" spans="1:25" ht="15" customHeight="1" x14ac:dyDescent="0.25">
      <c r="A5" s="61"/>
      <c r="B5" s="859" t="s">
        <v>966</v>
      </c>
      <c r="C5" s="861">
        <v>9100</v>
      </c>
      <c r="D5" s="61"/>
      <c r="E5" s="61"/>
      <c r="F5" s="61"/>
      <c r="G5" s="61"/>
      <c r="H5" s="61"/>
      <c r="I5" s="61"/>
      <c r="J5" s="61"/>
      <c r="K5" s="61"/>
      <c r="L5" s="61"/>
      <c r="M5" s="61"/>
    </row>
    <row r="6" spans="1:25" ht="15" customHeight="1" x14ac:dyDescent="0.25">
      <c r="A6" s="61"/>
      <c r="B6" s="859" t="s">
        <v>967</v>
      </c>
      <c r="C6" s="862">
        <v>0.13800000000000001</v>
      </c>
      <c r="D6" s="61"/>
      <c r="E6" s="61"/>
      <c r="F6" s="61"/>
      <c r="G6" s="61"/>
      <c r="H6" s="61"/>
      <c r="I6" s="61"/>
      <c r="J6" s="61"/>
      <c r="K6" s="61"/>
      <c r="L6" s="61"/>
      <c r="M6" s="61"/>
    </row>
    <row r="7" spans="1:25" ht="15" customHeight="1" x14ac:dyDescent="0.25">
      <c r="A7" s="61"/>
      <c r="B7" s="859" t="s">
        <v>968</v>
      </c>
      <c r="C7" s="862">
        <v>0.23780000000000001</v>
      </c>
      <c r="D7" s="61"/>
      <c r="E7" s="61"/>
      <c r="F7" s="61"/>
      <c r="G7" s="61"/>
      <c r="H7" s="61"/>
      <c r="I7" s="61"/>
      <c r="J7" s="61"/>
      <c r="K7" s="61"/>
      <c r="L7" s="61"/>
      <c r="M7" s="61"/>
    </row>
    <row r="8" spans="1:25" ht="15" customHeight="1" x14ac:dyDescent="0.25">
      <c r="A8" s="61"/>
      <c r="B8" s="859" t="s">
        <v>969</v>
      </c>
      <c r="C8" s="862">
        <v>5.0000000000000001E-3</v>
      </c>
      <c r="D8" s="61"/>
      <c r="E8" s="61"/>
      <c r="F8" s="61"/>
      <c r="G8" s="61"/>
      <c r="H8" s="61"/>
      <c r="I8" s="61"/>
      <c r="J8" s="61"/>
      <c r="K8" s="61"/>
      <c r="L8" s="61"/>
      <c r="M8" s="61"/>
    </row>
    <row r="9" spans="1:25" ht="15" customHeight="1" thickBot="1" x14ac:dyDescent="0.3">
      <c r="A9" s="61"/>
      <c r="B9" s="863" t="s">
        <v>970</v>
      </c>
      <c r="C9" s="864">
        <v>0</v>
      </c>
      <c r="D9" s="61"/>
      <c r="E9" s="61"/>
      <c r="F9" s="61"/>
      <c r="G9" s="61"/>
      <c r="H9" s="61"/>
      <c r="I9" s="61"/>
      <c r="J9" s="61"/>
      <c r="K9" s="61"/>
      <c r="L9" s="61"/>
      <c r="M9" s="61"/>
      <c r="R9" s="865"/>
      <c r="S9" s="865"/>
    </row>
    <row r="10" spans="1:25" ht="15.75" thickBot="1" x14ac:dyDescent="0.3">
      <c r="P10" s="866"/>
      <c r="R10" s="866"/>
      <c r="S10" s="866"/>
    </row>
    <row r="11" spans="1:25" ht="105.75" thickBot="1" x14ac:dyDescent="0.3">
      <c r="A11" s="867" t="s">
        <v>667</v>
      </c>
      <c r="B11" s="868" t="s">
        <v>971</v>
      </c>
      <c r="C11" s="869" t="s">
        <v>972</v>
      </c>
      <c r="D11" s="869" t="s">
        <v>973</v>
      </c>
      <c r="E11" s="869" t="s">
        <v>974</v>
      </c>
      <c r="F11" s="869" t="s">
        <v>975</v>
      </c>
      <c r="G11" s="870" t="s">
        <v>976</v>
      </c>
      <c r="H11" s="869" t="s">
        <v>977</v>
      </c>
      <c r="I11" s="871" t="s">
        <v>978</v>
      </c>
      <c r="J11" s="872" t="s">
        <v>979</v>
      </c>
      <c r="K11" s="873" t="s">
        <v>653</v>
      </c>
      <c r="L11" s="874" t="s">
        <v>669</v>
      </c>
      <c r="M11" s="875" t="s">
        <v>670</v>
      </c>
      <c r="O11" t="s">
        <v>965</v>
      </c>
      <c r="P11" t="s">
        <v>980</v>
      </c>
      <c r="Q11" t="s">
        <v>981</v>
      </c>
      <c r="R11" t="s">
        <v>982</v>
      </c>
      <c r="S11" t="s">
        <v>1060</v>
      </c>
    </row>
    <row r="12" spans="1:25" x14ac:dyDescent="0.25">
      <c r="A12" s="876">
        <v>2</v>
      </c>
      <c r="B12" s="877" t="s">
        <v>671</v>
      </c>
      <c r="C12" s="878">
        <f>HLOOKUP($C$4,$O$11:$S$41,2,FALSE)</f>
        <v>24647</v>
      </c>
      <c r="D12" s="879">
        <f t="shared" ref="D12:D47" si="0">C12*$C$9</f>
        <v>0</v>
      </c>
      <c r="E12" s="879">
        <f t="shared" ref="E12:E47" si="1">C12*(100%+$C$9)</f>
        <v>24647</v>
      </c>
      <c r="F12" s="879">
        <f t="shared" ref="F12:F47" si="2">(E12-$C$5)*$C$6</f>
        <v>2145.4860000000003</v>
      </c>
      <c r="G12" s="880">
        <f t="shared" ref="G12:G47" si="3">E12*$C$8</f>
        <v>123.235</v>
      </c>
      <c r="H12" s="879">
        <f t="shared" ref="H12:H41" si="4">E12*$C$7</f>
        <v>5861.0565999999999</v>
      </c>
      <c r="I12" s="881">
        <f t="shared" ref="I12:I47" si="5">SUM(E12:H12)</f>
        <v>32776.777600000001</v>
      </c>
      <c r="J12" s="882">
        <v>1560</v>
      </c>
      <c r="K12" s="883">
        <f t="shared" ref="K12:K47" si="6">ROUND(I12/J12,2)</f>
        <v>21.01</v>
      </c>
      <c r="L12" s="884">
        <v>0.41</v>
      </c>
      <c r="M12" s="885">
        <v>0.83</v>
      </c>
      <c r="O12" s="865">
        <v>23615</v>
      </c>
      <c r="P12" s="152">
        <v>29029</v>
      </c>
      <c r="Q12">
        <v>28166</v>
      </c>
      <c r="R12">
        <v>24873</v>
      </c>
      <c r="S12">
        <v>24647</v>
      </c>
      <c r="W12" s="509"/>
      <c r="X12" s="483"/>
      <c r="Y12" s="484"/>
    </row>
    <row r="13" spans="1:25" x14ac:dyDescent="0.25">
      <c r="A13" s="243">
        <v>2</v>
      </c>
      <c r="B13" s="886" t="s">
        <v>672</v>
      </c>
      <c r="C13" s="887">
        <f>HLOOKUP($C$4,$O$11:$S$41,3,FALSE)</f>
        <v>26763</v>
      </c>
      <c r="D13" s="711">
        <f t="shared" si="0"/>
        <v>0</v>
      </c>
      <c r="E13" s="711">
        <f t="shared" si="1"/>
        <v>26763</v>
      </c>
      <c r="F13" s="711">
        <f t="shared" si="2"/>
        <v>2437.4940000000001</v>
      </c>
      <c r="G13" s="712">
        <f t="shared" si="3"/>
        <v>133.815</v>
      </c>
      <c r="H13" s="711">
        <f t="shared" si="4"/>
        <v>6364.2413999999999</v>
      </c>
      <c r="I13" s="881">
        <f t="shared" si="5"/>
        <v>35698.5504</v>
      </c>
      <c r="J13" s="619">
        <v>1560</v>
      </c>
      <c r="K13" s="883">
        <f t="shared" si="6"/>
        <v>22.88</v>
      </c>
      <c r="L13" s="713">
        <v>0.41</v>
      </c>
      <c r="M13" s="888">
        <v>0.83</v>
      </c>
      <c r="O13" s="865">
        <v>23615</v>
      </c>
      <c r="P13" s="152">
        <v>29029</v>
      </c>
      <c r="Q13">
        <v>28166</v>
      </c>
      <c r="R13">
        <v>24873</v>
      </c>
      <c r="S13">
        <v>26763</v>
      </c>
      <c r="W13" s="260" t="s">
        <v>704</v>
      </c>
      <c r="Y13" s="79"/>
    </row>
    <row r="14" spans="1:25" x14ac:dyDescent="0.25">
      <c r="A14" s="243">
        <v>3</v>
      </c>
      <c r="B14" s="886" t="s">
        <v>673</v>
      </c>
      <c r="C14" s="887">
        <f>HLOOKUP($C$4,$O$11:$S$41,4,FALSE)</f>
        <v>26869</v>
      </c>
      <c r="D14" s="711">
        <f t="shared" si="0"/>
        <v>0</v>
      </c>
      <c r="E14" s="711">
        <f t="shared" si="1"/>
        <v>26869</v>
      </c>
      <c r="F14" s="711">
        <f t="shared" si="2"/>
        <v>2452.1220000000003</v>
      </c>
      <c r="G14" s="712">
        <f t="shared" si="3"/>
        <v>134.345</v>
      </c>
      <c r="H14" s="711">
        <f t="shared" si="4"/>
        <v>6389.4482000000007</v>
      </c>
      <c r="I14" s="881">
        <f t="shared" si="5"/>
        <v>35844.915200000003</v>
      </c>
      <c r="J14" s="619">
        <v>1560</v>
      </c>
      <c r="K14" s="883">
        <f t="shared" si="6"/>
        <v>22.98</v>
      </c>
      <c r="L14" s="713">
        <v>0.35</v>
      </c>
      <c r="M14" s="888">
        <v>0.69</v>
      </c>
      <c r="O14" s="865">
        <v>24071</v>
      </c>
      <c r="P14" s="152">
        <v>29485</v>
      </c>
      <c r="Q14">
        <v>28622</v>
      </c>
      <c r="R14">
        <v>25329</v>
      </c>
      <c r="S14">
        <v>26869</v>
      </c>
      <c r="T14" t="s">
        <v>965</v>
      </c>
      <c r="W14" s="261" t="s">
        <v>705</v>
      </c>
      <c r="X14" s="900">
        <v>260</v>
      </c>
      <c r="Y14" s="79"/>
    </row>
    <row r="15" spans="1:25" x14ac:dyDescent="0.25">
      <c r="A15" s="243">
        <v>3</v>
      </c>
      <c r="B15" s="886" t="s">
        <v>674</v>
      </c>
      <c r="C15" s="887">
        <f>HLOOKUP($C$4,$O$11:$S$41,5,FALSE)</f>
        <v>28998</v>
      </c>
      <c r="D15" s="711">
        <f t="shared" si="0"/>
        <v>0</v>
      </c>
      <c r="E15" s="711">
        <f t="shared" si="1"/>
        <v>28998</v>
      </c>
      <c r="F15" s="711">
        <f t="shared" si="2"/>
        <v>2745.9240000000004</v>
      </c>
      <c r="G15" s="712">
        <f t="shared" si="3"/>
        <v>144.99</v>
      </c>
      <c r="H15" s="711">
        <f t="shared" si="4"/>
        <v>6895.7244000000001</v>
      </c>
      <c r="I15" s="881">
        <f t="shared" si="5"/>
        <v>38784.638400000003</v>
      </c>
      <c r="J15" s="619">
        <v>1560</v>
      </c>
      <c r="K15" s="883">
        <f t="shared" si="6"/>
        <v>24.86</v>
      </c>
      <c r="L15" s="713">
        <v>0.35</v>
      </c>
      <c r="M15" s="888">
        <v>0.69</v>
      </c>
      <c r="O15" s="865">
        <v>25674</v>
      </c>
      <c r="P15" s="152">
        <v>31088</v>
      </c>
      <c r="Q15">
        <v>30225</v>
      </c>
      <c r="R15">
        <v>26958</v>
      </c>
      <c r="S15">
        <v>28998</v>
      </c>
      <c r="T15" t="s">
        <v>983</v>
      </c>
      <c r="W15" s="261" t="s">
        <v>706</v>
      </c>
      <c r="X15" s="900">
        <v>-40</v>
      </c>
      <c r="Y15" s="79"/>
    </row>
    <row r="16" spans="1:25" x14ac:dyDescent="0.25">
      <c r="A16" s="243">
        <v>4</v>
      </c>
      <c r="B16" s="886" t="s">
        <v>675</v>
      </c>
      <c r="C16" s="887">
        <f>HLOOKUP($C$4,$O$11:$S$41,6,FALSE)</f>
        <v>29116</v>
      </c>
      <c r="D16" s="711">
        <f t="shared" si="0"/>
        <v>0</v>
      </c>
      <c r="E16" s="711">
        <f t="shared" si="1"/>
        <v>29116</v>
      </c>
      <c r="F16" s="711">
        <f t="shared" si="2"/>
        <v>2762.2080000000001</v>
      </c>
      <c r="G16" s="712">
        <f t="shared" si="3"/>
        <v>145.58000000000001</v>
      </c>
      <c r="H16" s="711">
        <f t="shared" si="4"/>
        <v>6923.7848000000004</v>
      </c>
      <c r="I16" s="881">
        <f t="shared" si="5"/>
        <v>38947.572800000002</v>
      </c>
      <c r="J16" s="619">
        <v>1560</v>
      </c>
      <c r="K16" s="883">
        <f t="shared" si="6"/>
        <v>24.97</v>
      </c>
      <c r="L16" s="713">
        <v>0.3</v>
      </c>
      <c r="M16" s="888">
        <v>0.6</v>
      </c>
      <c r="O16" s="865">
        <v>26530</v>
      </c>
      <c r="P16" s="152">
        <v>31944</v>
      </c>
      <c r="Q16">
        <v>31081</v>
      </c>
      <c r="R16">
        <v>27857</v>
      </c>
      <c r="S16">
        <v>29116</v>
      </c>
      <c r="T16" t="s">
        <v>984</v>
      </c>
      <c r="W16" s="261" t="s">
        <v>707</v>
      </c>
      <c r="X16" s="900">
        <v>-2</v>
      </c>
      <c r="Y16" s="79"/>
    </row>
    <row r="17" spans="1:25" x14ac:dyDescent="0.25">
      <c r="A17" s="243">
        <v>4</v>
      </c>
      <c r="B17" s="886" t="s">
        <v>676</v>
      </c>
      <c r="C17" s="887">
        <f>HLOOKUP($C$4,$O$11:$S$41,7,FALSE)</f>
        <v>31670</v>
      </c>
      <c r="D17" s="711">
        <f t="shared" si="0"/>
        <v>0</v>
      </c>
      <c r="E17" s="711">
        <f t="shared" si="1"/>
        <v>31670</v>
      </c>
      <c r="F17" s="711">
        <f t="shared" si="2"/>
        <v>3114.6600000000003</v>
      </c>
      <c r="G17" s="712">
        <f t="shared" si="3"/>
        <v>158.35</v>
      </c>
      <c r="H17" s="711">
        <f t="shared" si="4"/>
        <v>7531.1260000000002</v>
      </c>
      <c r="I17" s="881">
        <f t="shared" si="5"/>
        <v>42474.135999999999</v>
      </c>
      <c r="J17" s="619">
        <v>1560</v>
      </c>
      <c r="K17" s="883">
        <f t="shared" si="6"/>
        <v>27.23</v>
      </c>
      <c r="L17" s="713">
        <v>0.3</v>
      </c>
      <c r="M17" s="888">
        <v>0.6</v>
      </c>
      <c r="O17" s="865">
        <v>29114</v>
      </c>
      <c r="P17" s="152">
        <v>34937</v>
      </c>
      <c r="Q17">
        <v>33665</v>
      </c>
      <c r="R17">
        <v>30570</v>
      </c>
      <c r="S17">
        <v>31670</v>
      </c>
      <c r="T17" t="s">
        <v>985</v>
      </c>
      <c r="W17" s="261" t="s">
        <v>708</v>
      </c>
      <c r="X17" s="900">
        <v>-10</v>
      </c>
      <c r="Y17" s="79"/>
    </row>
    <row r="18" spans="1:25" x14ac:dyDescent="0.25">
      <c r="A18" s="243">
        <v>5</v>
      </c>
      <c r="B18" s="886" t="s">
        <v>677</v>
      </c>
      <c r="C18" s="887">
        <f>HLOOKUP($C$4,$O$11:$S$41,8,FALSE)</f>
        <v>31892</v>
      </c>
      <c r="D18" s="711">
        <f t="shared" si="0"/>
        <v>0</v>
      </c>
      <c r="E18" s="711">
        <f t="shared" si="1"/>
        <v>31892</v>
      </c>
      <c r="F18" s="711">
        <f t="shared" si="2"/>
        <v>3145.2960000000003</v>
      </c>
      <c r="G18" s="712">
        <f t="shared" si="3"/>
        <v>159.46</v>
      </c>
      <c r="H18" s="711">
        <f t="shared" si="4"/>
        <v>7583.9176000000007</v>
      </c>
      <c r="I18" s="881">
        <f t="shared" si="5"/>
        <v>42780.673600000002</v>
      </c>
      <c r="J18" s="619">
        <v>1560</v>
      </c>
      <c r="K18" s="883">
        <f t="shared" si="6"/>
        <v>27.42</v>
      </c>
      <c r="L18" s="713">
        <v>0.3</v>
      </c>
      <c r="M18" s="888">
        <v>0.6</v>
      </c>
      <c r="O18" s="865">
        <v>29970</v>
      </c>
      <c r="P18" s="152">
        <v>35964</v>
      </c>
      <c r="Q18">
        <v>34521</v>
      </c>
      <c r="R18">
        <v>31469</v>
      </c>
      <c r="S18">
        <v>31892</v>
      </c>
      <c r="T18" t="s">
        <v>1060</v>
      </c>
      <c r="W18" s="261"/>
      <c r="X18" s="901">
        <v>208</v>
      </c>
      <c r="Y18" s="79"/>
    </row>
    <row r="19" spans="1:25" x14ac:dyDescent="0.25">
      <c r="A19" s="243">
        <v>5</v>
      </c>
      <c r="B19" s="886" t="s">
        <v>678</v>
      </c>
      <c r="C19" s="887">
        <f>HLOOKUP($C$4,$O$11:$S$41,9,FALSE)</f>
        <v>34077</v>
      </c>
      <c r="D19" s="711">
        <f t="shared" si="0"/>
        <v>0</v>
      </c>
      <c r="E19" s="711">
        <f t="shared" si="1"/>
        <v>34077</v>
      </c>
      <c r="F19" s="711">
        <f t="shared" si="2"/>
        <v>3446.8260000000005</v>
      </c>
      <c r="G19" s="712">
        <f t="shared" si="3"/>
        <v>170.38499999999999</v>
      </c>
      <c r="H19" s="711">
        <f t="shared" si="4"/>
        <v>8103.5106000000005</v>
      </c>
      <c r="I19" s="881">
        <f t="shared" si="5"/>
        <v>45797.721600000004</v>
      </c>
      <c r="J19" s="619">
        <v>1560</v>
      </c>
      <c r="K19" s="883">
        <f t="shared" si="6"/>
        <v>29.36</v>
      </c>
      <c r="L19" s="713">
        <v>0.3</v>
      </c>
      <c r="M19" s="888">
        <v>0.6</v>
      </c>
      <c r="O19" s="865">
        <v>32324</v>
      </c>
      <c r="P19" s="152">
        <v>38789</v>
      </c>
      <c r="Q19">
        <v>37173</v>
      </c>
      <c r="R19">
        <v>33941</v>
      </c>
      <c r="S19">
        <v>34077</v>
      </c>
      <c r="W19" s="261" t="s">
        <v>710</v>
      </c>
      <c r="X19" s="902">
        <f>7.5*X18</f>
        <v>1560</v>
      </c>
      <c r="Y19" s="79"/>
    </row>
    <row r="20" spans="1:25" x14ac:dyDescent="0.25">
      <c r="A20" s="243">
        <v>5</v>
      </c>
      <c r="B20" s="886" t="s">
        <v>679</v>
      </c>
      <c r="C20" s="887">
        <f>HLOOKUP($C$4,$O$11:$S$41,10,FALSE)</f>
        <v>39735</v>
      </c>
      <c r="D20" s="711">
        <f t="shared" si="0"/>
        <v>0</v>
      </c>
      <c r="E20" s="711">
        <f t="shared" si="1"/>
        <v>39735</v>
      </c>
      <c r="F20" s="711">
        <f t="shared" si="2"/>
        <v>4227.63</v>
      </c>
      <c r="G20" s="712">
        <f t="shared" si="3"/>
        <v>198.67500000000001</v>
      </c>
      <c r="H20" s="711">
        <f t="shared" si="4"/>
        <v>9448.9830000000002</v>
      </c>
      <c r="I20" s="881">
        <f t="shared" si="5"/>
        <v>53610.288</v>
      </c>
      <c r="J20" s="619">
        <v>1560</v>
      </c>
      <c r="K20" s="883">
        <f t="shared" si="6"/>
        <v>34.369999999999997</v>
      </c>
      <c r="L20" s="713">
        <v>0.3</v>
      </c>
      <c r="M20" s="888">
        <v>0.6</v>
      </c>
      <c r="O20" s="865">
        <v>36483</v>
      </c>
      <c r="P20" s="152">
        <v>43780</v>
      </c>
      <c r="Q20">
        <v>41956</v>
      </c>
      <c r="R20">
        <v>38308</v>
      </c>
      <c r="S20">
        <v>39735</v>
      </c>
      <c r="W20" s="80"/>
      <c r="Y20" s="79"/>
    </row>
    <row r="21" spans="1:25" x14ac:dyDescent="0.25">
      <c r="A21" s="243">
        <v>6</v>
      </c>
      <c r="B21" s="886" t="s">
        <v>680</v>
      </c>
      <c r="C21" s="887">
        <f>HLOOKUP($C$4,$O$11:$S$41,11,FALSE)</f>
        <v>39912</v>
      </c>
      <c r="D21" s="711">
        <f t="shared" si="0"/>
        <v>0</v>
      </c>
      <c r="E21" s="711">
        <f t="shared" si="1"/>
        <v>39912</v>
      </c>
      <c r="F21" s="711">
        <f t="shared" si="2"/>
        <v>4252.0560000000005</v>
      </c>
      <c r="G21" s="712">
        <f t="shared" si="3"/>
        <v>199.56</v>
      </c>
      <c r="H21" s="711">
        <f t="shared" si="4"/>
        <v>9491.0735999999997</v>
      </c>
      <c r="I21" s="881">
        <f t="shared" si="5"/>
        <v>53854.689599999998</v>
      </c>
      <c r="J21" s="619">
        <v>1560</v>
      </c>
      <c r="K21" s="883">
        <f t="shared" si="6"/>
        <v>34.520000000000003</v>
      </c>
      <c r="L21" s="713">
        <v>0.3</v>
      </c>
      <c r="M21" s="888">
        <v>0.6</v>
      </c>
      <c r="O21" s="865">
        <v>37338</v>
      </c>
      <c r="P21" s="152">
        <v>44806</v>
      </c>
      <c r="Q21">
        <v>42939</v>
      </c>
      <c r="R21">
        <v>39205</v>
      </c>
      <c r="S21">
        <v>39912</v>
      </c>
      <c r="W21" s="261"/>
      <c r="Y21" s="79"/>
    </row>
    <row r="22" spans="1:25" x14ac:dyDescent="0.25">
      <c r="A22" s="243">
        <v>6</v>
      </c>
      <c r="B22" s="886" t="s">
        <v>681</v>
      </c>
      <c r="C22" s="887">
        <f>HLOOKUP($C$4,$O$11:$S$42,12,FALSE)</f>
        <v>41670</v>
      </c>
      <c r="D22" s="711">
        <f t="shared" si="0"/>
        <v>0</v>
      </c>
      <c r="E22" s="711">
        <f t="shared" si="1"/>
        <v>41670</v>
      </c>
      <c r="F22" s="711">
        <f t="shared" si="2"/>
        <v>4494.6600000000008</v>
      </c>
      <c r="G22" s="712">
        <f t="shared" si="3"/>
        <v>208.35</v>
      </c>
      <c r="H22" s="711">
        <f t="shared" si="4"/>
        <v>9909.1260000000002</v>
      </c>
      <c r="I22" s="881">
        <f t="shared" si="5"/>
        <v>56282.135999999999</v>
      </c>
      <c r="J22" s="619">
        <v>1560</v>
      </c>
      <c r="K22" s="883">
        <f t="shared" si="6"/>
        <v>36.08</v>
      </c>
      <c r="L22" s="713">
        <v>0.3</v>
      </c>
      <c r="M22" s="888">
        <v>0.6</v>
      </c>
      <c r="O22" s="865">
        <v>39405</v>
      </c>
      <c r="P22" s="152">
        <v>47286</v>
      </c>
      <c r="Q22">
        <v>45140</v>
      </c>
      <c r="R22">
        <v>41376</v>
      </c>
      <c r="S22">
        <v>41670</v>
      </c>
      <c r="W22" s="260" t="s">
        <v>700</v>
      </c>
      <c r="Y22" s="79"/>
    </row>
    <row r="23" spans="1:25" x14ac:dyDescent="0.25">
      <c r="A23" s="243">
        <v>6</v>
      </c>
      <c r="B23" s="886" t="s">
        <v>682</v>
      </c>
      <c r="C23" s="887">
        <f>HLOOKUP($C$4,$O$11:$S$41,13,FALSE)</f>
        <v>48635</v>
      </c>
      <c r="D23" s="711">
        <f t="shared" si="0"/>
        <v>0</v>
      </c>
      <c r="E23" s="711">
        <f t="shared" si="1"/>
        <v>48635</v>
      </c>
      <c r="F23" s="711">
        <f t="shared" si="2"/>
        <v>5455.8300000000008</v>
      </c>
      <c r="G23" s="712">
        <f t="shared" si="3"/>
        <v>243.17500000000001</v>
      </c>
      <c r="H23" s="711">
        <f t="shared" si="4"/>
        <v>11565.403</v>
      </c>
      <c r="I23" s="881">
        <f t="shared" si="5"/>
        <v>65899.40800000001</v>
      </c>
      <c r="J23" s="619">
        <v>1560</v>
      </c>
      <c r="K23" s="883">
        <f t="shared" si="6"/>
        <v>42.24</v>
      </c>
      <c r="L23" s="713">
        <v>0.3</v>
      </c>
      <c r="M23" s="888">
        <v>0.6</v>
      </c>
      <c r="O23" s="865">
        <v>44962</v>
      </c>
      <c r="P23" s="152">
        <v>53134</v>
      </c>
      <c r="Q23">
        <v>50697</v>
      </c>
      <c r="R23">
        <v>47084</v>
      </c>
      <c r="S23">
        <v>48635</v>
      </c>
      <c r="W23" s="261" t="s">
        <v>711</v>
      </c>
      <c r="X23" s="900">
        <v>43</v>
      </c>
      <c r="Y23" s="79"/>
    </row>
    <row r="24" spans="1:25" x14ac:dyDescent="0.25">
      <c r="A24" s="243">
        <v>7</v>
      </c>
      <c r="B24" s="886" t="s">
        <v>683</v>
      </c>
      <c r="C24" s="887">
        <f>HLOOKUP($C$4,$O$11:$S$41,14,FALSE)</f>
        <v>48788</v>
      </c>
      <c r="D24" s="711">
        <f t="shared" si="0"/>
        <v>0</v>
      </c>
      <c r="E24" s="711">
        <f t="shared" si="1"/>
        <v>48788</v>
      </c>
      <c r="F24" s="711">
        <f t="shared" si="2"/>
        <v>5476.9440000000004</v>
      </c>
      <c r="G24" s="712">
        <f t="shared" si="3"/>
        <v>243.94</v>
      </c>
      <c r="H24" s="711">
        <f t="shared" si="4"/>
        <v>11601.786400000001</v>
      </c>
      <c r="I24" s="881">
        <f t="shared" si="5"/>
        <v>66110.670400000003</v>
      </c>
      <c r="J24" s="619">
        <v>1560</v>
      </c>
      <c r="K24" s="883">
        <f t="shared" si="6"/>
        <v>42.38</v>
      </c>
      <c r="L24" s="713">
        <v>0.3</v>
      </c>
      <c r="M24" s="888">
        <v>0.6</v>
      </c>
      <c r="O24" s="865">
        <v>46148</v>
      </c>
      <c r="P24" s="152">
        <v>54320</v>
      </c>
      <c r="Q24">
        <v>51883</v>
      </c>
      <c r="R24">
        <v>48270</v>
      </c>
      <c r="S24">
        <v>48788</v>
      </c>
      <c r="W24" s="261"/>
      <c r="X24" s="900"/>
      <c r="Y24" s="79"/>
    </row>
    <row r="25" spans="1:25" x14ac:dyDescent="0.25">
      <c r="A25" s="243">
        <v>7</v>
      </c>
      <c r="B25" s="886" t="s">
        <v>684</v>
      </c>
      <c r="C25" s="887">
        <f>HLOOKUP($C$4,$O$11:$S$41,15,FALSE)</f>
        <v>50651</v>
      </c>
      <c r="D25" s="711">
        <f t="shared" si="0"/>
        <v>0</v>
      </c>
      <c r="E25" s="711">
        <f t="shared" si="1"/>
        <v>50651</v>
      </c>
      <c r="F25" s="711">
        <f t="shared" si="2"/>
        <v>5734.0380000000005</v>
      </c>
      <c r="G25" s="712">
        <f t="shared" si="3"/>
        <v>253.255</v>
      </c>
      <c r="H25" s="711">
        <f t="shared" si="4"/>
        <v>12044.8078</v>
      </c>
      <c r="I25" s="881">
        <f t="shared" si="5"/>
        <v>68683.1008</v>
      </c>
      <c r="J25" s="619">
        <v>1560</v>
      </c>
      <c r="K25" s="883">
        <f t="shared" si="6"/>
        <v>44.03</v>
      </c>
      <c r="L25" s="713">
        <v>0.3</v>
      </c>
      <c r="M25" s="888">
        <v>0.6</v>
      </c>
      <c r="O25" s="865">
        <v>48526</v>
      </c>
      <c r="P25" s="152">
        <v>56698</v>
      </c>
      <c r="Q25">
        <v>54261</v>
      </c>
      <c r="R25">
        <v>50648</v>
      </c>
      <c r="S25">
        <v>50651</v>
      </c>
      <c r="W25" s="261" t="s">
        <v>713</v>
      </c>
      <c r="X25" s="900">
        <v>10</v>
      </c>
      <c r="Y25" s="79"/>
    </row>
    <row r="26" spans="1:25" x14ac:dyDescent="0.25">
      <c r="A26" s="243">
        <v>7</v>
      </c>
      <c r="B26" s="886" t="s">
        <v>685</v>
      </c>
      <c r="C26" s="887">
        <f>HLOOKUP($C$4,$O$11:$S$41,16,FALSE)</f>
        <v>56747</v>
      </c>
      <c r="D26" s="711">
        <f t="shared" si="0"/>
        <v>0</v>
      </c>
      <c r="E26" s="711">
        <f t="shared" si="1"/>
        <v>56747</v>
      </c>
      <c r="F26" s="711">
        <f t="shared" si="2"/>
        <v>6575.286000000001</v>
      </c>
      <c r="G26" s="712">
        <f t="shared" si="3"/>
        <v>283.73500000000001</v>
      </c>
      <c r="H26" s="711">
        <f t="shared" si="4"/>
        <v>13494.436600000001</v>
      </c>
      <c r="I26" s="881">
        <f t="shared" si="5"/>
        <v>77100.457599999994</v>
      </c>
      <c r="J26" s="619">
        <v>1560</v>
      </c>
      <c r="K26" s="883">
        <f t="shared" si="6"/>
        <v>49.42</v>
      </c>
      <c r="L26" s="713">
        <v>0.3</v>
      </c>
      <c r="M26" s="888">
        <v>0.6</v>
      </c>
      <c r="O26" s="865">
        <v>52809</v>
      </c>
      <c r="P26" s="152">
        <v>60981</v>
      </c>
      <c r="Q26">
        <v>58544</v>
      </c>
      <c r="R26">
        <v>54931</v>
      </c>
      <c r="S26">
        <v>56747</v>
      </c>
      <c r="W26" s="261" t="s">
        <v>714</v>
      </c>
      <c r="X26" s="900">
        <v>-2</v>
      </c>
      <c r="Y26" s="79"/>
    </row>
    <row r="27" spans="1:25" x14ac:dyDescent="0.25">
      <c r="A27" s="243" t="s">
        <v>709</v>
      </c>
      <c r="B27" s="886" t="s">
        <v>457</v>
      </c>
      <c r="C27" s="887">
        <f>HLOOKUP($C$4,$O$11:$S$41,17,FALSE)</f>
        <v>60126</v>
      </c>
      <c r="D27" s="711">
        <f t="shared" si="0"/>
        <v>0</v>
      </c>
      <c r="E27" s="711">
        <f t="shared" si="1"/>
        <v>60126</v>
      </c>
      <c r="F27" s="711">
        <f t="shared" si="2"/>
        <v>7041.5880000000006</v>
      </c>
      <c r="G27" s="712">
        <f t="shared" si="3"/>
        <v>300.63</v>
      </c>
      <c r="H27" s="711">
        <f t="shared" si="4"/>
        <v>14297.962800000001</v>
      </c>
      <c r="I27" s="881">
        <f t="shared" si="5"/>
        <v>81766.180800000002</v>
      </c>
      <c r="J27" s="619">
        <v>1560</v>
      </c>
      <c r="K27" s="883">
        <f t="shared" si="6"/>
        <v>52.41</v>
      </c>
      <c r="L27" s="713">
        <v>0.3</v>
      </c>
      <c r="M27" s="888">
        <v>0.6</v>
      </c>
      <c r="O27" s="865">
        <v>53754.676500000001</v>
      </c>
      <c r="P27" s="152">
        <v>61927</v>
      </c>
      <c r="Q27">
        <v>59490</v>
      </c>
      <c r="R27">
        <v>55877</v>
      </c>
      <c r="S27">
        <v>60126</v>
      </c>
      <c r="W27" s="261"/>
      <c r="X27" s="901">
        <v>8</v>
      </c>
      <c r="Y27" s="79"/>
    </row>
    <row r="28" spans="1:25" x14ac:dyDescent="0.25">
      <c r="A28" s="243" t="s">
        <v>709</v>
      </c>
      <c r="B28" s="886" t="s">
        <v>686</v>
      </c>
      <c r="C28" s="887">
        <f>HLOOKUP($C$4,$O$11:$S$41,18,FALSE)</f>
        <v>60126</v>
      </c>
      <c r="D28" s="711">
        <f t="shared" si="0"/>
        <v>0</v>
      </c>
      <c r="E28" s="711">
        <f t="shared" si="1"/>
        <v>60126</v>
      </c>
      <c r="F28" s="711">
        <f t="shared" si="2"/>
        <v>7041.5880000000006</v>
      </c>
      <c r="G28" s="712">
        <f t="shared" si="3"/>
        <v>300.63</v>
      </c>
      <c r="H28" s="711">
        <f t="shared" si="4"/>
        <v>14297.962800000001</v>
      </c>
      <c r="I28" s="881">
        <f t="shared" si="5"/>
        <v>81766.180800000002</v>
      </c>
      <c r="J28" s="619">
        <v>1560</v>
      </c>
      <c r="K28" s="883">
        <f t="shared" si="6"/>
        <v>52.41</v>
      </c>
      <c r="L28" s="713">
        <v>0.3</v>
      </c>
      <c r="M28" s="888">
        <v>0.6</v>
      </c>
      <c r="O28" s="865">
        <v>56454</v>
      </c>
      <c r="P28" s="152">
        <v>64626</v>
      </c>
      <c r="Q28">
        <v>62189</v>
      </c>
      <c r="R28">
        <v>58576</v>
      </c>
      <c r="S28">
        <v>60126</v>
      </c>
      <c r="W28" s="261" t="s">
        <v>715</v>
      </c>
      <c r="X28" s="902">
        <f>X27*4*X23</f>
        <v>1376</v>
      </c>
      <c r="Y28" s="79"/>
    </row>
    <row r="29" spans="1:25" x14ac:dyDescent="0.25">
      <c r="A29" s="243" t="s">
        <v>709</v>
      </c>
      <c r="B29" s="886" t="s">
        <v>687</v>
      </c>
      <c r="C29" s="887">
        <f>HLOOKUP($C$4,$O$11:$S$41,19,FALSE)</f>
        <v>64906</v>
      </c>
      <c r="D29" s="711">
        <f t="shared" si="0"/>
        <v>0</v>
      </c>
      <c r="E29" s="711">
        <f t="shared" si="1"/>
        <v>64906</v>
      </c>
      <c r="F29" s="711">
        <f t="shared" si="2"/>
        <v>7701.228000000001</v>
      </c>
      <c r="G29" s="712">
        <f t="shared" si="3"/>
        <v>324.53000000000003</v>
      </c>
      <c r="H29" s="711">
        <f t="shared" si="4"/>
        <v>15434.6468</v>
      </c>
      <c r="I29" s="881">
        <f t="shared" si="5"/>
        <v>88366.404800000004</v>
      </c>
      <c r="J29" s="619">
        <v>1560</v>
      </c>
      <c r="K29" s="883">
        <f t="shared" si="6"/>
        <v>56.65</v>
      </c>
      <c r="L29" s="713">
        <v>0.3</v>
      </c>
      <c r="M29" s="888">
        <v>0.6</v>
      </c>
      <c r="O29" s="865">
        <v>60504</v>
      </c>
      <c r="P29" s="152">
        <v>68676</v>
      </c>
      <c r="Q29">
        <v>66239</v>
      </c>
      <c r="R29">
        <v>62626</v>
      </c>
      <c r="S29">
        <v>64906</v>
      </c>
      <c r="W29" s="80"/>
      <c r="Y29" s="79"/>
    </row>
    <row r="30" spans="1:25" x14ac:dyDescent="0.25">
      <c r="A30" s="243" t="s">
        <v>712</v>
      </c>
      <c r="B30" s="886" t="s">
        <v>688</v>
      </c>
      <c r="C30" s="887">
        <f>HLOOKUP($C$4,$O$11:$S$41,20,FALSE)</f>
        <v>70986</v>
      </c>
      <c r="D30" s="711">
        <f t="shared" si="0"/>
        <v>0</v>
      </c>
      <c r="E30" s="711">
        <f t="shared" si="1"/>
        <v>70986</v>
      </c>
      <c r="F30" s="711">
        <f t="shared" si="2"/>
        <v>8540.268</v>
      </c>
      <c r="G30" s="712">
        <f t="shared" si="3"/>
        <v>354.93</v>
      </c>
      <c r="H30" s="711">
        <f t="shared" si="4"/>
        <v>16880.470799999999</v>
      </c>
      <c r="I30" s="881">
        <f t="shared" si="5"/>
        <v>96761.668799999985</v>
      </c>
      <c r="J30" s="619">
        <v>1560</v>
      </c>
      <c r="K30" s="883">
        <f t="shared" si="6"/>
        <v>62.03</v>
      </c>
      <c r="L30" s="713">
        <v>0.3</v>
      </c>
      <c r="M30" s="888">
        <v>0.6</v>
      </c>
      <c r="O30" s="865">
        <v>62215</v>
      </c>
      <c r="P30" s="152">
        <v>70387</v>
      </c>
      <c r="Q30">
        <v>67950</v>
      </c>
      <c r="R30">
        <v>64337</v>
      </c>
      <c r="S30">
        <v>70986</v>
      </c>
      <c r="W30" s="261"/>
      <c r="Y30" s="79"/>
    </row>
    <row r="31" spans="1:25" x14ac:dyDescent="0.25">
      <c r="A31" s="243" t="s">
        <v>712</v>
      </c>
      <c r="B31" s="886" t="s">
        <v>689</v>
      </c>
      <c r="C31" s="887">
        <f>HLOOKUP($C$4,$O$11:$S$41,21,FALSE)</f>
        <v>70986</v>
      </c>
      <c r="D31" s="711">
        <f t="shared" si="0"/>
        <v>0</v>
      </c>
      <c r="E31" s="711">
        <f t="shared" si="1"/>
        <v>70986</v>
      </c>
      <c r="F31" s="711">
        <f t="shared" si="2"/>
        <v>8540.268</v>
      </c>
      <c r="G31" s="712">
        <f t="shared" si="3"/>
        <v>354.93</v>
      </c>
      <c r="H31" s="711">
        <f t="shared" si="4"/>
        <v>16880.470799999999</v>
      </c>
      <c r="I31" s="881">
        <f t="shared" si="5"/>
        <v>96761.668799999985</v>
      </c>
      <c r="J31" s="619">
        <v>1560</v>
      </c>
      <c r="K31" s="883">
        <f t="shared" si="6"/>
        <v>62.03</v>
      </c>
      <c r="L31" s="713">
        <v>0.3</v>
      </c>
      <c r="M31" s="888">
        <v>0.6</v>
      </c>
      <c r="O31" s="865">
        <v>66246</v>
      </c>
      <c r="P31" s="152">
        <v>74418</v>
      </c>
      <c r="Q31">
        <v>71981</v>
      </c>
      <c r="R31">
        <v>68368</v>
      </c>
      <c r="S31">
        <v>70986</v>
      </c>
      <c r="W31" s="260" t="s">
        <v>703</v>
      </c>
      <c r="Y31" s="79"/>
    </row>
    <row r="32" spans="1:25" x14ac:dyDescent="0.25">
      <c r="A32" s="243" t="s">
        <v>712</v>
      </c>
      <c r="B32" s="886" t="s">
        <v>690</v>
      </c>
      <c r="C32" s="887">
        <f>HLOOKUP($C$4,$O$11:$S$41,22,FALSE)</f>
        <v>75937</v>
      </c>
      <c r="D32" s="711">
        <f t="shared" si="0"/>
        <v>0</v>
      </c>
      <c r="E32" s="711">
        <f t="shared" si="1"/>
        <v>75937</v>
      </c>
      <c r="F32" s="711">
        <f t="shared" si="2"/>
        <v>9223.5060000000012</v>
      </c>
      <c r="G32" s="712">
        <f t="shared" si="3"/>
        <v>379.685</v>
      </c>
      <c r="H32" s="711">
        <f t="shared" si="4"/>
        <v>18057.818600000002</v>
      </c>
      <c r="I32" s="881">
        <f t="shared" si="5"/>
        <v>103598.00959999999</v>
      </c>
      <c r="J32" s="619">
        <v>1560</v>
      </c>
      <c r="K32" s="883">
        <f t="shared" si="6"/>
        <v>66.41</v>
      </c>
      <c r="L32" s="713">
        <v>0.3</v>
      </c>
      <c r="M32" s="888">
        <v>0.6</v>
      </c>
      <c r="O32" s="865">
        <v>72293</v>
      </c>
      <c r="P32" s="152">
        <v>80465</v>
      </c>
      <c r="Q32">
        <v>78028</v>
      </c>
      <c r="R32">
        <v>74415</v>
      </c>
      <c r="S32">
        <v>75937</v>
      </c>
      <c r="W32" s="261" t="s">
        <v>717</v>
      </c>
      <c r="X32" s="900">
        <v>44.7</v>
      </c>
      <c r="Y32" s="79"/>
    </row>
    <row r="33" spans="1:25" x14ac:dyDescent="0.25">
      <c r="A33" s="243" t="s">
        <v>716</v>
      </c>
      <c r="B33" s="886" t="s">
        <v>691</v>
      </c>
      <c r="C33" s="887">
        <f>HLOOKUP($C$4,$O$11:$S$41,23,FALSE)</f>
        <v>83837</v>
      </c>
      <c r="D33" s="711">
        <f t="shared" si="0"/>
        <v>0</v>
      </c>
      <c r="E33" s="711">
        <f t="shared" si="1"/>
        <v>83837</v>
      </c>
      <c r="F33" s="711">
        <f t="shared" si="2"/>
        <v>10313.706</v>
      </c>
      <c r="G33" s="712">
        <f t="shared" si="3"/>
        <v>419.185</v>
      </c>
      <c r="H33" s="711">
        <f t="shared" si="4"/>
        <v>19936.438600000001</v>
      </c>
      <c r="I33" s="881">
        <f t="shared" si="5"/>
        <v>114506.3296</v>
      </c>
      <c r="J33" s="619">
        <v>1560</v>
      </c>
      <c r="K33" s="883">
        <f t="shared" si="6"/>
        <v>73.400000000000006</v>
      </c>
      <c r="L33" s="713">
        <v>0.3</v>
      </c>
      <c r="M33" s="888">
        <v>0.6</v>
      </c>
      <c r="O33" s="865">
        <v>74290</v>
      </c>
      <c r="P33" s="152">
        <v>82462</v>
      </c>
      <c r="Q33">
        <v>80025</v>
      </c>
      <c r="R33">
        <v>76412</v>
      </c>
      <c r="S33">
        <v>83837</v>
      </c>
      <c r="W33" s="261" t="s">
        <v>718</v>
      </c>
      <c r="X33" s="900">
        <v>48</v>
      </c>
      <c r="Y33" s="79"/>
    </row>
    <row r="34" spans="1:25" x14ac:dyDescent="0.25">
      <c r="A34" s="243" t="s">
        <v>716</v>
      </c>
      <c r="B34" s="886" t="s">
        <v>692</v>
      </c>
      <c r="C34" s="887">
        <f>HLOOKUP($C$4,$O$11:$S$41,24,FALSE)</f>
        <v>83837</v>
      </c>
      <c r="D34" s="711">
        <f t="shared" si="0"/>
        <v>0</v>
      </c>
      <c r="E34" s="711">
        <f t="shared" si="1"/>
        <v>83837</v>
      </c>
      <c r="F34" s="711">
        <f t="shared" si="2"/>
        <v>10313.706</v>
      </c>
      <c r="G34" s="712">
        <f t="shared" si="3"/>
        <v>419.185</v>
      </c>
      <c r="H34" s="711">
        <f t="shared" si="4"/>
        <v>19936.438600000001</v>
      </c>
      <c r="I34" s="881">
        <f t="shared" si="5"/>
        <v>114506.3296</v>
      </c>
      <c r="J34" s="619">
        <v>1560</v>
      </c>
      <c r="K34" s="883">
        <f t="shared" si="6"/>
        <v>73.400000000000006</v>
      </c>
      <c r="L34" s="713">
        <v>0.3</v>
      </c>
      <c r="M34" s="888">
        <v>0.6</v>
      </c>
      <c r="O34" s="865">
        <v>78814</v>
      </c>
      <c r="P34" s="152">
        <v>86986</v>
      </c>
      <c r="Q34">
        <v>84549</v>
      </c>
      <c r="R34">
        <v>80936</v>
      </c>
      <c r="S34">
        <v>83837</v>
      </c>
      <c r="W34" s="261" t="s">
        <v>719</v>
      </c>
      <c r="X34" s="900">
        <v>2145.6</v>
      </c>
      <c r="Y34" s="79"/>
    </row>
    <row r="35" spans="1:25" x14ac:dyDescent="0.25">
      <c r="A35" s="243" t="s">
        <v>716</v>
      </c>
      <c r="B35" s="886" t="s">
        <v>693</v>
      </c>
      <c r="C35" s="887">
        <f>HLOOKUP($C$4,$O$11:$S$41,25,FALSE)</f>
        <v>89866</v>
      </c>
      <c r="D35" s="711">
        <f t="shared" si="0"/>
        <v>0</v>
      </c>
      <c r="E35" s="711">
        <f t="shared" si="1"/>
        <v>89866</v>
      </c>
      <c r="F35" s="711">
        <f t="shared" si="2"/>
        <v>11145.708000000001</v>
      </c>
      <c r="G35" s="712">
        <f t="shared" si="3"/>
        <v>449.33</v>
      </c>
      <c r="H35" s="711">
        <f t="shared" si="4"/>
        <v>21370.1348</v>
      </c>
      <c r="I35" s="881">
        <f t="shared" si="5"/>
        <v>122831.1728</v>
      </c>
      <c r="J35" s="619">
        <v>1560</v>
      </c>
      <c r="K35" s="883">
        <f t="shared" si="6"/>
        <v>78.739999999999995</v>
      </c>
      <c r="L35" s="713">
        <v>0.3</v>
      </c>
      <c r="M35" s="888">
        <v>0.6</v>
      </c>
      <c r="O35" s="865">
        <v>85601</v>
      </c>
      <c r="P35" s="152">
        <v>93773</v>
      </c>
      <c r="Q35">
        <v>91336</v>
      </c>
      <c r="R35">
        <v>87723</v>
      </c>
      <c r="S35">
        <v>89866</v>
      </c>
      <c r="W35" s="261" t="s">
        <v>720</v>
      </c>
      <c r="X35" s="903">
        <v>0.6</v>
      </c>
      <c r="Y35" s="79"/>
    </row>
    <row r="36" spans="1:25" x14ac:dyDescent="0.25">
      <c r="A36" s="243" t="s">
        <v>721</v>
      </c>
      <c r="B36" s="886" t="s">
        <v>694</v>
      </c>
      <c r="C36" s="887">
        <f>HLOOKUP($C$4,$O$11:$S$41,26,FALSE)</f>
        <v>99534</v>
      </c>
      <c r="D36" s="711">
        <f t="shared" si="0"/>
        <v>0</v>
      </c>
      <c r="E36" s="711">
        <f t="shared" si="1"/>
        <v>99534</v>
      </c>
      <c r="F36" s="711">
        <f t="shared" si="2"/>
        <v>12479.892000000002</v>
      </c>
      <c r="G36" s="712">
        <f t="shared" si="3"/>
        <v>497.67</v>
      </c>
      <c r="H36" s="711">
        <f t="shared" si="4"/>
        <v>23669.1852</v>
      </c>
      <c r="I36" s="881">
        <f t="shared" si="5"/>
        <v>136180.74720000001</v>
      </c>
      <c r="J36" s="619">
        <v>1560</v>
      </c>
      <c r="K36" s="883">
        <f t="shared" si="6"/>
        <v>87.3</v>
      </c>
      <c r="L36" s="713">
        <v>0.3</v>
      </c>
      <c r="M36" s="888">
        <v>0.6</v>
      </c>
      <c r="O36" s="865">
        <v>88168</v>
      </c>
      <c r="P36" s="152">
        <v>96340</v>
      </c>
      <c r="Q36">
        <v>93903</v>
      </c>
      <c r="R36">
        <v>90290</v>
      </c>
      <c r="S36">
        <v>99534</v>
      </c>
      <c r="W36" s="261" t="s">
        <v>722</v>
      </c>
      <c r="X36" s="904">
        <f>ROUND(X35*X34,0)</f>
        <v>1287</v>
      </c>
      <c r="Y36" s="79"/>
    </row>
    <row r="37" spans="1:25" x14ac:dyDescent="0.25">
      <c r="A37" s="243" t="s">
        <v>721</v>
      </c>
      <c r="B37" s="886" t="s">
        <v>695</v>
      </c>
      <c r="C37" s="887">
        <f>HLOOKUP($C$4,$O$11:$S$41,27,FALSE)</f>
        <v>99534</v>
      </c>
      <c r="D37" s="711">
        <f t="shared" si="0"/>
        <v>0</v>
      </c>
      <c r="E37" s="711">
        <f t="shared" si="1"/>
        <v>99534</v>
      </c>
      <c r="F37" s="711">
        <f t="shared" si="2"/>
        <v>12479.892000000002</v>
      </c>
      <c r="G37" s="712">
        <f t="shared" si="3"/>
        <v>497.67</v>
      </c>
      <c r="H37" s="711">
        <f t="shared" si="4"/>
        <v>23669.1852</v>
      </c>
      <c r="I37" s="881">
        <f t="shared" si="5"/>
        <v>136180.74720000001</v>
      </c>
      <c r="J37" s="619">
        <v>1560</v>
      </c>
      <c r="K37" s="883">
        <f t="shared" si="6"/>
        <v>87.3</v>
      </c>
      <c r="L37" s="713">
        <v>0.3</v>
      </c>
      <c r="M37" s="888">
        <v>0.6</v>
      </c>
      <c r="O37" s="865">
        <v>93572</v>
      </c>
      <c r="P37" s="152">
        <v>101744</v>
      </c>
      <c r="Q37">
        <v>99307</v>
      </c>
      <c r="R37">
        <v>95694</v>
      </c>
      <c r="S37">
        <v>99534</v>
      </c>
      <c r="W37" s="81"/>
      <c r="X37" s="82"/>
      <c r="Y37" s="83"/>
    </row>
    <row r="38" spans="1:25" x14ac:dyDescent="0.25">
      <c r="A38" s="243" t="s">
        <v>721</v>
      </c>
      <c r="B38" s="886" t="s">
        <v>696</v>
      </c>
      <c r="C38" s="887">
        <f>HLOOKUP($C$4,$O$11:$S$41,28,FALSE)</f>
        <v>103795</v>
      </c>
      <c r="D38" s="711">
        <f t="shared" si="0"/>
        <v>0</v>
      </c>
      <c r="E38" s="711">
        <f t="shared" si="1"/>
        <v>103795</v>
      </c>
      <c r="F38" s="711">
        <f t="shared" si="2"/>
        <v>13067.910000000002</v>
      </c>
      <c r="G38" s="712">
        <f t="shared" si="3"/>
        <v>518.97500000000002</v>
      </c>
      <c r="H38" s="711">
        <f t="shared" si="4"/>
        <v>24682.451000000001</v>
      </c>
      <c r="I38" s="881">
        <f t="shared" si="5"/>
        <v>142064.33600000001</v>
      </c>
      <c r="J38" s="619">
        <v>1560</v>
      </c>
      <c r="K38" s="883">
        <f t="shared" si="6"/>
        <v>91.07</v>
      </c>
      <c r="L38" s="713">
        <v>0.3</v>
      </c>
      <c r="M38" s="888">
        <v>0.6</v>
      </c>
      <c r="O38" s="865">
        <v>101677</v>
      </c>
      <c r="P38" s="152">
        <v>109849</v>
      </c>
      <c r="Q38">
        <v>107412</v>
      </c>
      <c r="R38">
        <v>103799</v>
      </c>
      <c r="S38">
        <v>103795</v>
      </c>
    </row>
    <row r="39" spans="1:25" x14ac:dyDescent="0.25">
      <c r="A39" s="243">
        <v>9</v>
      </c>
      <c r="B39" s="886" t="s">
        <v>697</v>
      </c>
      <c r="C39" s="887">
        <f>HLOOKUP($C$4,$O$11:$S$41,29,FALSE)</f>
        <v>117732</v>
      </c>
      <c r="D39" s="711">
        <f t="shared" si="0"/>
        <v>0</v>
      </c>
      <c r="E39" s="711">
        <f t="shared" si="1"/>
        <v>117732</v>
      </c>
      <c r="F39" s="711">
        <f t="shared" si="2"/>
        <v>14991.216</v>
      </c>
      <c r="G39" s="712">
        <f t="shared" si="3"/>
        <v>588.66</v>
      </c>
      <c r="H39" s="711">
        <f t="shared" si="4"/>
        <v>27996.669600000001</v>
      </c>
      <c r="I39" s="881">
        <f t="shared" si="5"/>
        <v>161308.54560000001</v>
      </c>
      <c r="J39" s="619">
        <v>1560</v>
      </c>
      <c r="K39" s="883">
        <f t="shared" si="6"/>
        <v>103.4</v>
      </c>
      <c r="L39" s="713">
        <v>0.3</v>
      </c>
      <c r="M39" s="888">
        <v>0.6</v>
      </c>
      <c r="O39" s="865">
        <v>105385</v>
      </c>
      <c r="P39" s="152">
        <v>113557</v>
      </c>
      <c r="Q39">
        <v>111120</v>
      </c>
      <c r="R39">
        <v>107507</v>
      </c>
      <c r="S39">
        <v>117732</v>
      </c>
    </row>
    <row r="40" spans="1:25" x14ac:dyDescent="0.25">
      <c r="A40" s="243">
        <v>9</v>
      </c>
      <c r="B40" s="886" t="s">
        <v>698</v>
      </c>
      <c r="C40" s="887">
        <f>HLOOKUP($C$4,$O$11:$S$41,30,FALSE)</f>
        <v>117732</v>
      </c>
      <c r="D40" s="711">
        <f t="shared" si="0"/>
        <v>0</v>
      </c>
      <c r="E40" s="711">
        <f t="shared" si="1"/>
        <v>117732</v>
      </c>
      <c r="F40" s="711">
        <f t="shared" si="2"/>
        <v>14991.216</v>
      </c>
      <c r="G40" s="712">
        <f t="shared" si="3"/>
        <v>588.66</v>
      </c>
      <c r="H40" s="711">
        <f t="shared" si="4"/>
        <v>27996.669600000001</v>
      </c>
      <c r="I40" s="881">
        <f t="shared" si="5"/>
        <v>161308.54560000001</v>
      </c>
      <c r="J40" s="619">
        <v>1560</v>
      </c>
      <c r="K40" s="883">
        <f t="shared" si="6"/>
        <v>103.4</v>
      </c>
      <c r="L40" s="713">
        <v>0.3</v>
      </c>
      <c r="M40" s="888">
        <v>0.6</v>
      </c>
      <c r="O40" s="865">
        <v>111740</v>
      </c>
      <c r="P40" s="152">
        <v>119912</v>
      </c>
      <c r="Q40">
        <v>117475</v>
      </c>
      <c r="R40">
        <v>113862</v>
      </c>
      <c r="S40">
        <v>117732</v>
      </c>
    </row>
    <row r="41" spans="1:25" x14ac:dyDescent="0.25">
      <c r="A41" s="243">
        <v>9</v>
      </c>
      <c r="B41" s="886" t="s">
        <v>699</v>
      </c>
      <c r="C41" s="887">
        <f>HLOOKUP($C$4,$O$11:$S$41,31,FALSE)</f>
        <v>122831</v>
      </c>
      <c r="D41" s="711">
        <f t="shared" si="0"/>
        <v>0</v>
      </c>
      <c r="E41" s="711">
        <f t="shared" si="1"/>
        <v>122831</v>
      </c>
      <c r="F41" s="711">
        <f t="shared" si="2"/>
        <v>15694.878000000001</v>
      </c>
      <c r="G41" s="712">
        <f t="shared" si="3"/>
        <v>614.15499999999997</v>
      </c>
      <c r="H41" s="711">
        <f t="shared" si="4"/>
        <v>29209.211800000001</v>
      </c>
      <c r="I41" s="881">
        <f t="shared" si="5"/>
        <v>168349.24479999999</v>
      </c>
      <c r="J41" s="619">
        <v>1560</v>
      </c>
      <c r="K41" s="883">
        <f t="shared" si="6"/>
        <v>107.92</v>
      </c>
      <c r="L41" s="713">
        <v>0.3</v>
      </c>
      <c r="M41" s="888">
        <v>0.6</v>
      </c>
      <c r="O41" s="865">
        <v>121271</v>
      </c>
      <c r="P41" s="152">
        <v>129443</v>
      </c>
      <c r="Q41">
        <v>127006</v>
      </c>
      <c r="R41">
        <v>123393</v>
      </c>
      <c r="S41">
        <v>122831</v>
      </c>
    </row>
    <row r="42" spans="1:25" x14ac:dyDescent="0.25">
      <c r="A42" s="243" t="s">
        <v>703</v>
      </c>
      <c r="B42" s="475" t="s">
        <v>986</v>
      </c>
      <c r="C42" s="887">
        <v>74700</v>
      </c>
      <c r="D42" s="711">
        <f t="shared" si="0"/>
        <v>0</v>
      </c>
      <c r="E42" s="711">
        <f t="shared" si="1"/>
        <v>74700</v>
      </c>
      <c r="F42" s="711">
        <f t="shared" si="2"/>
        <v>9052.8000000000011</v>
      </c>
      <c r="G42" s="712">
        <f t="shared" si="3"/>
        <v>373.5</v>
      </c>
      <c r="H42" s="711">
        <f>C42*0.2068</f>
        <v>15447.960000000001</v>
      </c>
      <c r="I42" s="881">
        <f t="shared" si="5"/>
        <v>99574.260000000009</v>
      </c>
      <c r="J42" s="619">
        <f>X36</f>
        <v>1287</v>
      </c>
      <c r="K42" s="883">
        <f t="shared" si="6"/>
        <v>77.37</v>
      </c>
      <c r="L42" s="889">
        <v>0</v>
      </c>
      <c r="M42" s="890">
        <v>0</v>
      </c>
    </row>
    <row r="43" spans="1:25" x14ac:dyDescent="0.25">
      <c r="A43" s="243" t="s">
        <v>703</v>
      </c>
      <c r="B43" s="475" t="s">
        <v>987</v>
      </c>
      <c r="C43" s="887">
        <v>110800</v>
      </c>
      <c r="D43" s="711">
        <f t="shared" si="0"/>
        <v>0</v>
      </c>
      <c r="E43" s="711">
        <f t="shared" si="1"/>
        <v>110800</v>
      </c>
      <c r="F43" s="711">
        <f t="shared" si="2"/>
        <v>14034.6</v>
      </c>
      <c r="G43" s="712">
        <f t="shared" si="3"/>
        <v>554</v>
      </c>
      <c r="H43" s="711">
        <f>C43*0.2068</f>
        <v>22913.440000000002</v>
      </c>
      <c r="I43" s="881">
        <f t="shared" si="5"/>
        <v>148302.04</v>
      </c>
      <c r="J43" s="619">
        <f>X36</f>
        <v>1287</v>
      </c>
      <c r="K43" s="883">
        <f t="shared" si="6"/>
        <v>115.23</v>
      </c>
      <c r="L43" s="889">
        <v>0</v>
      </c>
      <c r="M43" s="890">
        <v>0</v>
      </c>
    </row>
    <row r="44" spans="1:25" x14ac:dyDescent="0.25">
      <c r="A44" s="891" t="s">
        <v>703</v>
      </c>
      <c r="B44" s="892" t="s">
        <v>987</v>
      </c>
      <c r="C44" s="893">
        <v>120000</v>
      </c>
      <c r="D44" s="714">
        <f t="shared" si="0"/>
        <v>0</v>
      </c>
      <c r="E44" s="711">
        <f t="shared" si="1"/>
        <v>120000</v>
      </c>
      <c r="F44" s="711">
        <f t="shared" si="2"/>
        <v>15304.2</v>
      </c>
      <c r="G44" s="712">
        <f t="shared" si="3"/>
        <v>600</v>
      </c>
      <c r="H44" s="714">
        <f>C44*0.2068</f>
        <v>24816</v>
      </c>
      <c r="I44" s="881">
        <f t="shared" si="5"/>
        <v>160720.20000000001</v>
      </c>
      <c r="J44" s="619">
        <f>X36</f>
        <v>1287</v>
      </c>
      <c r="K44" s="883">
        <f t="shared" si="6"/>
        <v>124.88</v>
      </c>
      <c r="L44" s="889">
        <v>0</v>
      </c>
      <c r="M44" s="890">
        <v>0</v>
      </c>
    </row>
    <row r="45" spans="1:25" x14ac:dyDescent="0.25">
      <c r="A45" s="243" t="s">
        <v>700</v>
      </c>
      <c r="B45" s="475" t="s">
        <v>701</v>
      </c>
      <c r="C45" s="887">
        <v>107144</v>
      </c>
      <c r="D45" s="711">
        <f t="shared" si="0"/>
        <v>0</v>
      </c>
      <c r="E45" s="711">
        <f t="shared" si="1"/>
        <v>107144</v>
      </c>
      <c r="F45" s="711">
        <f t="shared" si="2"/>
        <v>13530.072000000002</v>
      </c>
      <c r="G45" s="712">
        <f t="shared" si="3"/>
        <v>535.72</v>
      </c>
      <c r="H45" s="711">
        <f>E45*$C$7</f>
        <v>25478.843200000003</v>
      </c>
      <c r="I45" s="881">
        <f t="shared" si="5"/>
        <v>146688.63520000002</v>
      </c>
      <c r="J45" s="619">
        <v>1376</v>
      </c>
      <c r="K45" s="883">
        <f t="shared" si="6"/>
        <v>106.61</v>
      </c>
      <c r="L45" s="889">
        <v>0</v>
      </c>
      <c r="M45" s="890">
        <v>0</v>
      </c>
    </row>
    <row r="46" spans="1:25" x14ac:dyDescent="0.25">
      <c r="A46" s="243" t="s">
        <v>700</v>
      </c>
      <c r="B46" s="475" t="s">
        <v>456</v>
      </c>
      <c r="C46" s="887">
        <v>126905</v>
      </c>
      <c r="D46" s="711">
        <f t="shared" si="0"/>
        <v>0</v>
      </c>
      <c r="E46" s="711">
        <f t="shared" si="1"/>
        <v>126905</v>
      </c>
      <c r="F46" s="711">
        <f t="shared" si="2"/>
        <v>16257.090000000002</v>
      </c>
      <c r="G46" s="712">
        <f t="shared" si="3"/>
        <v>634.52499999999998</v>
      </c>
      <c r="H46" s="711">
        <f>E46*$C$7</f>
        <v>30178.009000000002</v>
      </c>
      <c r="I46" s="881">
        <f t="shared" si="5"/>
        <v>173974.62399999998</v>
      </c>
      <c r="J46" s="619">
        <v>1376</v>
      </c>
      <c r="K46" s="883">
        <f t="shared" si="6"/>
        <v>126.44</v>
      </c>
      <c r="L46" s="889">
        <v>0</v>
      </c>
      <c r="M46" s="890">
        <v>0</v>
      </c>
    </row>
    <row r="47" spans="1:25" ht="15.75" thickBot="1" x14ac:dyDescent="0.3">
      <c r="A47" s="244" t="s">
        <v>700</v>
      </c>
      <c r="B47" s="237" t="s">
        <v>702</v>
      </c>
      <c r="C47" s="894">
        <v>142369</v>
      </c>
      <c r="D47" s="238">
        <f t="shared" si="0"/>
        <v>0</v>
      </c>
      <c r="E47" s="238">
        <f t="shared" si="1"/>
        <v>142369</v>
      </c>
      <c r="F47" s="238">
        <f t="shared" si="2"/>
        <v>18391.122000000003</v>
      </c>
      <c r="G47" s="895">
        <f t="shared" si="3"/>
        <v>711.84500000000003</v>
      </c>
      <c r="H47" s="238">
        <f>E47*$C$7</f>
        <v>33855.3482</v>
      </c>
      <c r="I47" s="239">
        <f t="shared" si="5"/>
        <v>195327.31520000001</v>
      </c>
      <c r="J47" s="896">
        <v>1376</v>
      </c>
      <c r="K47" s="897">
        <f t="shared" si="6"/>
        <v>141.94999999999999</v>
      </c>
      <c r="L47" s="898">
        <v>0</v>
      </c>
      <c r="M47" s="899">
        <v>0</v>
      </c>
    </row>
    <row r="50" spans="1:1" x14ac:dyDescent="0.25">
      <c r="A50" s="180" t="s">
        <v>1061</v>
      </c>
    </row>
    <row r="51" spans="1:1" x14ac:dyDescent="0.25">
      <c r="A51" s="180" t="s">
        <v>1062</v>
      </c>
    </row>
    <row r="52" spans="1:1" x14ac:dyDescent="0.25">
      <c r="A52" s="180" t="s">
        <v>1063</v>
      </c>
    </row>
    <row r="101" ht="23.45" customHeight="1" x14ac:dyDescent="0.25"/>
    <row r="102" ht="55.5" customHeight="1" x14ac:dyDescent="0.25"/>
    <row r="103" ht="23.45" customHeight="1" x14ac:dyDescent="0.25"/>
    <row r="104" ht="23.45" customHeight="1" x14ac:dyDescent="0.25"/>
    <row r="105" ht="23.45" customHeight="1" x14ac:dyDescent="0.25"/>
  </sheetData>
  <sheetProtection algorithmName="SHA-512" hashValue="wIneNNpFYzbxbiCqKV7oYs6ajRlIJ/vbtlIcX5v8jNZ0uIjeEzN6vWi89QyMwkDX3dV7TTV1uQSS5lRqgBaBaQ==" saltValue="P6uxgLWTya7n1IiH1j5eEw==" spinCount="100000" sheet="1" objects="1" scenarios="1" formatColumns="0" formatRows="0" insertColumns="0" insertRows="0" sort="0"/>
  <dataValidations count="1">
    <dataValidation type="list" allowBlank="1" showInputMessage="1" showErrorMessage="1" sqref="C4" xr:uid="{73F8A6CB-7999-4198-BED4-D7AABDAB9376}">
      <formula1>$T$14:$T$18</formula1>
    </dataValidation>
  </dataValidations>
  <hyperlinks>
    <hyperlink ref="A50" r:id="rId1" display="https://digital.nhs.uk/data-and-information/publications/statistical/gp-earnings-and-expenses-estimates/2022-23" xr:uid="{864957B7-F91E-4A0D-B306-01DAA2A3AAD4}"/>
    <hyperlink ref="A51" r:id="rId2" display="https://www.publications.scot.nhs.uk/files/pcs2024-afc-05.pdf" xr:uid="{940FFB31-FF7E-458B-AC27-71CE420F64AC}"/>
    <hyperlink ref="A52" r:id="rId3" display="https://www.msg.scot.nhs.uk/wp-content/uploads/Item-10i-AOCB-PCSDD2024-01-Medical-Dental-Pay-2024-25.pdf" xr:uid="{4C6890D1-4D6A-4E46-A3B5-1A684A4AC4A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388F9-0609-41FB-A47D-9DBEBDF12F79}">
  <sheetPr>
    <tabColor theme="1" tint="0.14999847407452621"/>
    <pageSetUpPr fitToPage="1"/>
  </sheetPr>
  <dimension ref="B2:R27"/>
  <sheetViews>
    <sheetView showGridLines="0" topLeftCell="A10" zoomScale="80" zoomScaleNormal="80" workbookViewId="0">
      <selection activeCell="F10" sqref="F10"/>
    </sheetView>
  </sheetViews>
  <sheetFormatPr defaultRowHeight="15" x14ac:dyDescent="0.25"/>
  <cols>
    <col min="1" max="2" width="3.5703125" customWidth="1"/>
    <col min="3" max="4" width="20.7109375" customWidth="1"/>
    <col min="5" max="5" width="3.5703125" customWidth="1"/>
    <col min="6" max="6" width="20.7109375" customWidth="1"/>
    <col min="7" max="7" width="3.5703125" customWidth="1"/>
    <col min="8" max="8" width="20.7109375" customWidth="1"/>
    <col min="9" max="11" width="3.5703125" customWidth="1"/>
    <col min="12" max="12" width="20.7109375" customWidth="1"/>
    <col min="13" max="13" width="3.5703125" customWidth="1"/>
    <col min="14" max="14" width="20.7109375" customWidth="1"/>
    <col min="15" max="15" width="3.5703125" customWidth="1"/>
    <col min="16" max="16" width="20.7109375" customWidth="1"/>
    <col min="17" max="17" width="3.5703125" customWidth="1"/>
  </cols>
  <sheetData>
    <row r="2" spans="2:18" ht="26.25" x14ac:dyDescent="0.4">
      <c r="B2" s="196" t="s">
        <v>9</v>
      </c>
      <c r="C2" s="195"/>
      <c r="D2" s="195"/>
      <c r="E2" s="195"/>
      <c r="F2" s="195"/>
      <c r="G2" s="195"/>
      <c r="H2" s="195"/>
      <c r="I2" s="195"/>
      <c r="J2" s="195"/>
      <c r="K2" s="195"/>
      <c r="L2" s="195"/>
      <c r="M2" s="195"/>
      <c r="N2" s="195"/>
      <c r="O2" s="195"/>
      <c r="P2" s="195"/>
      <c r="Q2" s="510"/>
    </row>
    <row r="5" spans="2:18" x14ac:dyDescent="0.25">
      <c r="B5" s="511" t="s">
        <v>763</v>
      </c>
      <c r="C5" s="496"/>
      <c r="D5" s="496"/>
      <c r="E5" s="496"/>
      <c r="F5" s="496"/>
      <c r="G5" s="496"/>
      <c r="H5" s="496"/>
      <c r="I5" s="496"/>
      <c r="J5" s="496"/>
      <c r="K5" s="496"/>
      <c r="L5" s="496"/>
      <c r="M5" s="496"/>
      <c r="N5" s="496"/>
      <c r="O5" s="496"/>
      <c r="P5" s="496"/>
      <c r="Q5" s="512"/>
    </row>
    <row r="6" spans="2:18" x14ac:dyDescent="0.25">
      <c r="B6" s="120" t="s">
        <v>877</v>
      </c>
      <c r="C6" s="119"/>
      <c r="D6" s="119"/>
      <c r="E6" s="119"/>
      <c r="F6" s="119"/>
      <c r="G6" s="119"/>
      <c r="H6" s="119"/>
      <c r="I6" s="119"/>
      <c r="J6" s="119"/>
      <c r="K6" s="119"/>
      <c r="L6" s="119"/>
      <c r="M6" s="119"/>
      <c r="N6" s="119"/>
      <c r="O6" s="119"/>
      <c r="P6" s="119"/>
      <c r="Q6" s="121"/>
    </row>
    <row r="8" spans="2:18" x14ac:dyDescent="0.25">
      <c r="O8" s="222"/>
      <c r="P8" s="222"/>
      <c r="Q8" s="222"/>
    </row>
    <row r="9" spans="2:18" x14ac:dyDescent="0.25">
      <c r="B9" s="511"/>
      <c r="C9" s="496"/>
      <c r="D9" s="496"/>
      <c r="E9" s="496"/>
      <c r="F9" s="496"/>
      <c r="G9" s="496"/>
      <c r="H9" s="496"/>
      <c r="I9" s="512"/>
      <c r="K9" s="511"/>
      <c r="L9" s="496"/>
      <c r="M9" s="496"/>
      <c r="N9" s="496"/>
      <c r="O9" s="117"/>
      <c r="P9" s="117"/>
      <c r="Q9" s="117"/>
      <c r="R9" s="80"/>
    </row>
    <row r="10" spans="2:18" ht="55.5" customHeight="1" x14ac:dyDescent="0.25">
      <c r="B10" s="122"/>
      <c r="C10" s="497" t="s">
        <v>10</v>
      </c>
      <c r="D10" s="497" t="s">
        <v>11</v>
      </c>
      <c r="E10" s="224"/>
      <c r="F10" s="497" t="s">
        <v>12</v>
      </c>
      <c r="G10" s="224"/>
      <c r="H10" s="513" t="s">
        <v>865</v>
      </c>
      <c r="I10" s="225"/>
      <c r="J10" s="187"/>
      <c r="K10" s="228"/>
      <c r="L10" s="514" t="s">
        <v>13</v>
      </c>
      <c r="M10" s="228"/>
      <c r="N10" s="514" t="s">
        <v>14</v>
      </c>
      <c r="O10" s="224"/>
      <c r="P10" s="514" t="s">
        <v>15</v>
      </c>
      <c r="Q10" s="224"/>
      <c r="R10" s="80"/>
    </row>
    <row r="11" spans="2:18" x14ac:dyDescent="0.25">
      <c r="B11" s="122"/>
      <c r="C11" s="117"/>
      <c r="D11" s="117"/>
      <c r="E11" s="117"/>
      <c r="F11" s="117"/>
      <c r="G11" s="117"/>
      <c r="H11" s="117"/>
      <c r="I11" s="123"/>
      <c r="K11" s="122"/>
      <c r="L11" s="117"/>
      <c r="M11" s="117"/>
      <c r="N11" s="117"/>
      <c r="O11" s="117"/>
      <c r="P11" s="117"/>
      <c r="Q11" s="117"/>
      <c r="R11" s="80"/>
    </row>
    <row r="12" spans="2:18" ht="46.5" customHeight="1" x14ac:dyDescent="0.25">
      <c r="B12" s="122"/>
      <c r="C12" s="973" t="s">
        <v>16</v>
      </c>
      <c r="D12" s="974"/>
      <c r="E12" s="974"/>
      <c r="F12" s="974"/>
      <c r="G12" s="389"/>
      <c r="H12" s="499" t="s">
        <v>17</v>
      </c>
      <c r="I12" s="123"/>
      <c r="K12" s="122"/>
      <c r="L12" s="223"/>
      <c r="M12" s="106"/>
      <c r="N12" s="258" t="s">
        <v>18</v>
      </c>
      <c r="O12" s="106"/>
      <c r="P12" s="515"/>
      <c r="Q12" s="117"/>
      <c r="R12" s="80"/>
    </row>
    <row r="13" spans="2:18" x14ac:dyDescent="0.25">
      <c r="B13" s="122"/>
      <c r="C13" s="117"/>
      <c r="D13" s="117"/>
      <c r="E13" s="117"/>
      <c r="F13" s="117"/>
      <c r="G13" s="117"/>
      <c r="H13" s="117"/>
      <c r="I13" s="123"/>
      <c r="K13" s="122"/>
      <c r="L13" s="117"/>
      <c r="M13" s="117"/>
      <c r="N13" s="117"/>
      <c r="O13" s="117"/>
      <c r="P13" s="117"/>
      <c r="Q13" s="117"/>
      <c r="R13" s="80"/>
    </row>
    <row r="14" spans="2:18" ht="303" customHeight="1" x14ac:dyDescent="0.25">
      <c r="B14" s="122"/>
      <c r="C14" s="498" t="s">
        <v>19</v>
      </c>
      <c r="D14" s="498" t="s">
        <v>886</v>
      </c>
      <c r="E14" s="226"/>
      <c r="F14" s="499" t="s">
        <v>20</v>
      </c>
      <c r="G14" s="226"/>
      <c r="H14" s="499" t="s">
        <v>21</v>
      </c>
      <c r="I14" s="227"/>
      <c r="J14" s="130"/>
      <c r="K14" s="229"/>
      <c r="L14" s="516" t="s">
        <v>22</v>
      </c>
      <c r="M14" s="229"/>
      <c r="N14" s="517" t="s">
        <v>23</v>
      </c>
      <c r="O14" s="226"/>
      <c r="P14" s="517" t="s">
        <v>24</v>
      </c>
      <c r="Q14" s="226"/>
      <c r="R14" s="80"/>
    </row>
    <row r="15" spans="2:18" x14ac:dyDescent="0.25">
      <c r="B15" s="120"/>
      <c r="C15" s="119"/>
      <c r="D15" s="119"/>
      <c r="E15" s="119"/>
      <c r="F15" s="119"/>
      <c r="G15" s="119"/>
      <c r="H15" s="119"/>
      <c r="I15" s="121"/>
      <c r="K15" s="120"/>
      <c r="L15" s="119"/>
      <c r="M15" s="230"/>
      <c r="N15" s="230"/>
      <c r="O15" s="230"/>
      <c r="P15" s="230"/>
      <c r="Q15" s="230"/>
      <c r="R15" s="80"/>
    </row>
    <row r="18" spans="2:17" x14ac:dyDescent="0.25">
      <c r="B18" s="511"/>
      <c r="C18" s="496"/>
      <c r="D18" s="496"/>
      <c r="E18" s="496"/>
      <c r="F18" s="496"/>
      <c r="G18" s="496"/>
      <c r="H18" s="496"/>
      <c r="I18" s="496"/>
      <c r="J18" s="496"/>
      <c r="K18" s="496"/>
      <c r="L18" s="496"/>
      <c r="M18" s="496"/>
      <c r="N18" s="496"/>
      <c r="O18" s="496"/>
      <c r="P18" s="496"/>
      <c r="Q18" s="512"/>
    </row>
    <row r="19" spans="2:17" x14ac:dyDescent="0.25">
      <c r="B19" s="122" t="s">
        <v>25</v>
      </c>
      <c r="C19" s="117"/>
      <c r="D19" s="117"/>
      <c r="E19" s="117"/>
      <c r="F19" s="117"/>
      <c r="G19" s="117"/>
      <c r="H19" s="117"/>
      <c r="I19" s="117"/>
      <c r="J19" s="117"/>
      <c r="K19" s="117"/>
      <c r="L19" s="117"/>
      <c r="M19" s="117"/>
      <c r="N19" s="117"/>
      <c r="O19" s="117"/>
      <c r="P19" s="117"/>
      <c r="Q19" s="123"/>
    </row>
    <row r="20" spans="2:17" x14ac:dyDescent="0.25">
      <c r="B20" s="231" t="s">
        <v>26</v>
      </c>
      <c r="C20" s="117"/>
      <c r="D20" s="117"/>
      <c r="E20" s="117"/>
      <c r="F20" s="117"/>
      <c r="G20" s="117"/>
      <c r="H20" s="117"/>
      <c r="I20" s="117"/>
      <c r="J20" s="117"/>
      <c r="K20" s="117"/>
      <c r="L20" s="117"/>
      <c r="M20" s="117"/>
      <c r="N20" s="117"/>
      <c r="O20" s="117"/>
      <c r="P20" s="117"/>
      <c r="Q20" s="123"/>
    </row>
    <row r="21" spans="2:17" x14ac:dyDescent="0.25">
      <c r="B21" s="232" t="s">
        <v>27</v>
      </c>
      <c r="C21" s="117"/>
      <c r="D21" s="117"/>
      <c r="E21" s="117"/>
      <c r="F21" s="117"/>
      <c r="G21" s="117"/>
      <c r="H21" s="117"/>
      <c r="I21" s="117"/>
      <c r="J21" s="117"/>
      <c r="K21" s="117"/>
      <c r="L21" s="117"/>
      <c r="M21" s="117"/>
      <c r="N21" s="117"/>
      <c r="O21" s="117"/>
      <c r="P21" s="117"/>
      <c r="Q21" s="123"/>
    </row>
    <row r="22" spans="2:17" x14ac:dyDescent="0.25">
      <c r="B22" s="233" t="s">
        <v>28</v>
      </c>
      <c r="C22" s="117"/>
      <c r="D22" s="117"/>
      <c r="E22" s="117"/>
      <c r="F22" s="117"/>
      <c r="G22" s="117"/>
      <c r="H22" s="117"/>
      <c r="I22" s="117"/>
      <c r="J22" s="117"/>
      <c r="K22" s="117"/>
      <c r="L22" s="117"/>
      <c r="M22" s="117"/>
      <c r="N22" s="117"/>
      <c r="O22" s="117"/>
      <c r="P22" s="117"/>
      <c r="Q22" s="123"/>
    </row>
    <row r="23" spans="2:17" x14ac:dyDescent="0.25">
      <c r="B23" s="232" t="s">
        <v>29</v>
      </c>
      <c r="C23" s="117"/>
      <c r="D23" s="117"/>
      <c r="E23" s="117"/>
      <c r="F23" s="117"/>
      <c r="G23" s="117"/>
      <c r="H23" s="117"/>
      <c r="I23" s="117"/>
      <c r="J23" s="117"/>
      <c r="K23" s="117"/>
      <c r="L23" s="117"/>
      <c r="M23" s="117"/>
      <c r="N23" s="117"/>
      <c r="O23" s="117"/>
      <c r="P23" s="117"/>
      <c r="Q23" s="123"/>
    </row>
    <row r="24" spans="2:17" x14ac:dyDescent="0.25">
      <c r="B24" s="232" t="s">
        <v>30</v>
      </c>
      <c r="C24" s="117"/>
      <c r="D24" s="117"/>
      <c r="E24" s="117"/>
      <c r="F24" s="117"/>
      <c r="G24" s="117"/>
      <c r="H24" s="117"/>
      <c r="I24" s="117"/>
      <c r="J24" s="117"/>
      <c r="K24" s="117"/>
      <c r="L24" s="117"/>
      <c r="M24" s="117"/>
      <c r="N24" s="117"/>
      <c r="O24" s="117"/>
      <c r="P24" s="117"/>
      <c r="Q24" s="123"/>
    </row>
    <row r="25" spans="2:17" x14ac:dyDescent="0.25">
      <c r="B25" s="122"/>
      <c r="C25" s="117"/>
      <c r="D25" s="117"/>
      <c r="E25" s="117"/>
      <c r="F25" s="117"/>
      <c r="G25" s="117"/>
      <c r="H25" s="117"/>
      <c r="I25" s="117"/>
      <c r="J25" s="117"/>
      <c r="K25" s="117"/>
      <c r="L25" s="117"/>
      <c r="M25" s="117"/>
      <c r="N25" s="117"/>
      <c r="O25" s="117"/>
      <c r="P25" s="117"/>
      <c r="Q25" s="123"/>
    </row>
    <row r="26" spans="2:17" x14ac:dyDescent="0.25">
      <c r="B26" s="234" t="s">
        <v>958</v>
      </c>
      <c r="C26" s="117"/>
      <c r="D26" s="117"/>
      <c r="E26" s="117"/>
      <c r="F26" s="117"/>
      <c r="G26" s="117"/>
      <c r="H26" s="117"/>
      <c r="I26" s="117"/>
      <c r="J26" s="117"/>
      <c r="K26" s="117"/>
      <c r="L26" s="117"/>
      <c r="M26" s="117"/>
      <c r="N26" s="117"/>
      <c r="O26" s="117"/>
      <c r="P26" s="117"/>
      <c r="Q26" s="123"/>
    </row>
    <row r="27" spans="2:17" x14ac:dyDescent="0.25">
      <c r="B27" s="120"/>
      <c r="C27" s="119"/>
      <c r="D27" s="119"/>
      <c r="E27" s="119"/>
      <c r="F27" s="119"/>
      <c r="G27" s="119"/>
      <c r="H27" s="119"/>
      <c r="I27" s="119"/>
      <c r="J27" s="119"/>
      <c r="K27" s="119"/>
      <c r="L27" s="119"/>
      <c r="M27" s="119"/>
      <c r="N27" s="119"/>
      <c r="O27" s="119"/>
      <c r="P27" s="119"/>
      <c r="Q27" s="121"/>
    </row>
  </sheetData>
  <sheetProtection algorithmName="SHA-512" hashValue="gPydGR7JmUNsnkN3OmrZuJsyLFie5zyNs/sbVGR9LwWKq0Ea86E71x9NumgluMfjCMGDQoFHZ10bHKFoCUdtZw==" saltValue="iztccj1nCtrhduJ3RVaNSA==" spinCount="100000" sheet="1" objects="1" scenarios="1"/>
  <mergeCells count="1">
    <mergeCell ref="C12:F12"/>
  </mergeCells>
  <hyperlinks>
    <hyperlink ref="B26" r:id="rId1" display="© NICE 2024. All rights reserved. Subject to Notice of rights." xr:uid="{A9028629-3EA9-424F-9115-3A028530777C}"/>
  </hyperlinks>
  <pageMargins left="0.7" right="0.7" top="0.75" bottom="0.75" header="0.3" footer="0.3"/>
  <pageSetup paperSize="9" scale="57" fitToHeight="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FF00FF"/>
    <pageSetUpPr fitToPage="1"/>
  </sheetPr>
  <dimension ref="A1:GN445"/>
  <sheetViews>
    <sheetView showGridLines="0" zoomScale="85" zoomScaleNormal="85" workbookViewId="0">
      <selection activeCell="M15" sqref="M15"/>
    </sheetView>
  </sheetViews>
  <sheetFormatPr defaultColWidth="9.42578125" defaultRowHeight="14.25" x14ac:dyDescent="0.2"/>
  <cols>
    <col min="1" max="1" width="24.42578125" style="11" customWidth="1"/>
    <col min="2" max="2" width="49.42578125" style="11" customWidth="1"/>
    <col min="3" max="3" width="63.5703125" style="15" customWidth="1"/>
    <col min="4" max="4" width="20.42578125" style="11" customWidth="1"/>
    <col min="5" max="14" width="21" style="11" customWidth="1"/>
    <col min="15" max="16" width="22.5703125" style="11" customWidth="1"/>
    <col min="17" max="17" width="25.5703125" style="11" customWidth="1"/>
    <col min="18" max="18" width="10.5703125" style="11" customWidth="1"/>
    <col min="19" max="19" width="15.42578125" style="12" customWidth="1"/>
    <col min="20" max="20" width="20.42578125" style="12" customWidth="1"/>
    <col min="21" max="24" width="10.5703125" style="12" customWidth="1"/>
    <col min="25" max="44" width="8.5703125" style="12" bestFit="1" customWidth="1"/>
    <col min="45" max="52" width="8.5703125" style="13" bestFit="1" customWidth="1"/>
    <col min="53" max="99" width="8.5703125" style="1" bestFit="1" customWidth="1"/>
    <col min="100" max="102" width="7.5703125" style="1" bestFit="1" customWidth="1"/>
    <col min="103" max="107" width="10.5703125" style="1" customWidth="1"/>
    <col min="108" max="108" width="8.5703125" style="1" bestFit="1" customWidth="1"/>
    <col min="109" max="109" width="10.5703125" style="11" hidden="1" customWidth="1"/>
    <col min="110" max="192" width="8.5703125" style="11" bestFit="1" customWidth="1"/>
    <col min="193" max="195" width="10.5703125" style="11" customWidth="1"/>
    <col min="196" max="196" width="10.42578125" style="11" customWidth="1"/>
    <col min="197" max="16384" width="9.42578125" style="11"/>
  </cols>
  <sheetData>
    <row r="1" spans="1:108" ht="15" x14ac:dyDescent="0.25">
      <c r="B1" s="9" t="s">
        <v>31</v>
      </c>
      <c r="C1" s="53"/>
      <c r="D1" s="19"/>
      <c r="E1" s="10" t="s">
        <v>32</v>
      </c>
      <c r="F1" s="7"/>
      <c r="G1" s="7"/>
    </row>
    <row r="3" spans="1:108" x14ac:dyDescent="0.2">
      <c r="B3" s="518" t="s">
        <v>33</v>
      </c>
      <c r="C3" s="519"/>
      <c r="D3" s="520"/>
      <c r="E3" s="520"/>
      <c r="F3" s="520"/>
      <c r="G3" s="521"/>
    </row>
    <row r="4" spans="1:108" ht="15" x14ac:dyDescent="0.25">
      <c r="B4" s="45"/>
      <c r="C4" s="46"/>
      <c r="D4" s="7"/>
      <c r="E4" s="7"/>
      <c r="F4" s="7"/>
      <c r="G4" s="47"/>
      <c r="L4" s="9" t="s">
        <v>34</v>
      </c>
      <c r="M4" s="9" t="s">
        <v>34</v>
      </c>
      <c r="N4" s="9" t="s">
        <v>35</v>
      </c>
      <c r="O4" s="9" t="s">
        <v>35</v>
      </c>
      <c r="P4" s="9" t="s">
        <v>36</v>
      </c>
      <c r="R4" s="86" t="s">
        <v>37</v>
      </c>
      <c r="S4" s="86" t="s">
        <v>38</v>
      </c>
      <c r="T4" s="86" t="s">
        <v>39</v>
      </c>
      <c r="V4" s="86" t="s">
        <v>40</v>
      </c>
    </row>
    <row r="5" spans="1:108" ht="28.5" x14ac:dyDescent="0.2">
      <c r="B5" s="48" t="s">
        <v>41</v>
      </c>
      <c r="C5" s="46"/>
      <c r="D5" s="7"/>
      <c r="E5" s="7"/>
      <c r="F5" s="7"/>
      <c r="G5" s="47"/>
      <c r="L5" s="522" t="s">
        <v>42</v>
      </c>
      <c r="M5" s="522" t="s">
        <v>43</v>
      </c>
      <c r="N5" s="522" t="s">
        <v>44</v>
      </c>
      <c r="O5" s="522" t="s">
        <v>45</v>
      </c>
      <c r="P5" s="18"/>
      <c r="R5" s="522" t="s">
        <v>45</v>
      </c>
      <c r="S5" s="523" t="s">
        <v>46</v>
      </c>
      <c r="V5" s="524">
        <v>4</v>
      </c>
    </row>
    <row r="6" spans="1:108" ht="15" x14ac:dyDescent="0.25">
      <c r="B6" s="48" t="s">
        <v>47</v>
      </c>
      <c r="C6" s="46"/>
      <c r="D6" s="7"/>
      <c r="E6" s="7"/>
      <c r="F6" s="7"/>
      <c r="G6" s="47"/>
      <c r="J6" s="66"/>
      <c r="L6" s="525" t="s">
        <v>1038</v>
      </c>
      <c r="M6" s="525" t="s">
        <v>1042</v>
      </c>
      <c r="N6" s="525" t="str">
        <f>'Inputs and eligible population'!E11</f>
        <v>National</v>
      </c>
      <c r="O6" s="525" t="str">
        <f>IFERROR(VLOOKUP('Inputs and eligible population'!$E$11, $L$5:$M$14, 2, FALSE), "-")</f>
        <v>NATIONAL</v>
      </c>
      <c r="P6" s="522" t="b">
        <f>ISTEXT('Inputs and eligible population'!$E$12)</f>
        <v>1</v>
      </c>
      <c r="R6" s="102" t="s">
        <v>48</v>
      </c>
      <c r="S6" s="523" t="s">
        <v>49</v>
      </c>
      <c r="V6" s="524">
        <v>5</v>
      </c>
    </row>
    <row r="7" spans="1:108" x14ac:dyDescent="0.2">
      <c r="B7" s="45"/>
      <c r="C7" s="46"/>
      <c r="D7" s="7"/>
      <c r="E7" s="7"/>
      <c r="F7" s="7"/>
      <c r="G7" s="47"/>
      <c r="L7" s="525" t="s">
        <v>1040</v>
      </c>
      <c r="M7" s="525" t="s">
        <v>1043</v>
      </c>
      <c r="N7" s="525" t="str">
        <f>'Inputs and eligible population'!E11</f>
        <v>National</v>
      </c>
      <c r="O7" s="525" t="str">
        <f>IFERROR(VLOOKUP('Inputs and eligible population'!$E$11, $L$5:$M$14, 2, FALSE), "-")</f>
        <v>NATIONAL</v>
      </c>
      <c r="P7" s="522" t="b">
        <f>ISTEXT('Inputs and eligible population'!$E$12)</f>
        <v>1</v>
      </c>
      <c r="R7" s="102" t="s">
        <v>52</v>
      </c>
      <c r="S7" s="526"/>
      <c r="V7" s="524">
        <v>6</v>
      </c>
    </row>
    <row r="8" spans="1:108" ht="19.5" customHeight="1" x14ac:dyDescent="0.2">
      <c r="B8" s="49" t="s">
        <v>53</v>
      </c>
      <c r="C8" s="50"/>
      <c r="D8" s="51"/>
      <c r="E8" s="51"/>
      <c r="F8" s="51"/>
      <c r="G8" s="52"/>
      <c r="L8" s="525" t="s">
        <v>50</v>
      </c>
      <c r="M8" s="525" t="s">
        <v>51</v>
      </c>
      <c r="N8" s="525" t="str">
        <f>'Inputs and eligible population'!E11</f>
        <v>National</v>
      </c>
      <c r="O8" s="525" t="str">
        <f>IFERROR(VLOOKUP('Inputs and eligible population'!$E$11, $L$5:$M$14, 2, FALSE), "-")</f>
        <v>NATIONAL</v>
      </c>
      <c r="P8" s="522"/>
      <c r="V8" s="524">
        <v>7</v>
      </c>
    </row>
    <row r="9" spans="1:108" ht="19.5" customHeight="1" x14ac:dyDescent="0.2">
      <c r="A9" s="11" t="s">
        <v>1041</v>
      </c>
      <c r="B9" s="14"/>
      <c r="L9" s="933"/>
      <c r="M9" s="933"/>
      <c r="N9" s="933"/>
      <c r="O9" s="933"/>
      <c r="P9" s="934"/>
      <c r="V9" s="524" t="s">
        <v>54</v>
      </c>
    </row>
    <row r="10" spans="1:108" x14ac:dyDescent="0.2">
      <c r="B10" s="14"/>
      <c r="K10" s="21"/>
      <c r="P10" s="18"/>
      <c r="V10" s="524" t="s">
        <v>55</v>
      </c>
    </row>
    <row r="11" spans="1:108" ht="15" x14ac:dyDescent="0.25">
      <c r="B11" s="9" t="s">
        <v>56</v>
      </c>
      <c r="C11" s="21"/>
      <c r="D11" s="21"/>
      <c r="E11" s="21"/>
      <c r="K11" s="21"/>
      <c r="P11" s="18"/>
      <c r="V11" s="524" t="s">
        <v>57</v>
      </c>
    </row>
    <row r="12" spans="1:108" ht="43.5" customHeight="1" x14ac:dyDescent="0.2">
      <c r="B12" s="15"/>
      <c r="D12" s="527" t="s">
        <v>58</v>
      </c>
      <c r="E12" s="527" t="s">
        <v>58</v>
      </c>
      <c r="F12" s="527" t="s">
        <v>58</v>
      </c>
      <c r="G12" s="527" t="s">
        <v>58</v>
      </c>
      <c r="H12" s="527" t="s">
        <v>58</v>
      </c>
      <c r="I12" s="527" t="s">
        <v>58</v>
      </c>
      <c r="P12" s="18"/>
      <c r="V12" s="524" t="s">
        <v>59</v>
      </c>
    </row>
    <row r="13" spans="1:108" s="18" customFormat="1" ht="46.35" customHeight="1" x14ac:dyDescent="0.2">
      <c r="B13" s="528" t="s">
        <v>60</v>
      </c>
      <c r="C13" s="528" t="s">
        <v>61</v>
      </c>
      <c r="D13" s="529" t="s">
        <v>62</v>
      </c>
      <c r="E13" s="529" t="s">
        <v>63</v>
      </c>
      <c r="F13" s="529" t="s">
        <v>64</v>
      </c>
      <c r="G13" s="529" t="s">
        <v>65</v>
      </c>
      <c r="H13" s="529" t="s">
        <v>66</v>
      </c>
      <c r="I13" s="529" t="s">
        <v>67</v>
      </c>
      <c r="J13" s="528" t="s">
        <v>68</v>
      </c>
      <c r="K13" s="11"/>
      <c r="L13" s="11"/>
      <c r="M13" s="11"/>
      <c r="N13" s="11"/>
      <c r="O13" s="11"/>
      <c r="P13" s="11"/>
      <c r="S13" s="12"/>
      <c r="T13" s="12"/>
      <c r="U13" s="12"/>
      <c r="V13" s="530">
        <v>9</v>
      </c>
      <c r="W13" s="12"/>
      <c r="Y13" s="16"/>
      <c r="Z13" s="16"/>
      <c r="AA13" s="16"/>
      <c r="AB13" s="16"/>
      <c r="AC13" s="16"/>
      <c r="AD13" s="16"/>
      <c r="AE13" s="16"/>
      <c r="AF13" s="16"/>
      <c r="AG13" s="16"/>
      <c r="AH13" s="16"/>
      <c r="AI13" s="16"/>
      <c r="AJ13" s="16"/>
      <c r="AK13" s="16"/>
      <c r="AL13" s="16"/>
      <c r="AM13" s="16"/>
      <c r="AN13" s="16"/>
      <c r="AO13" s="16"/>
      <c r="AP13" s="16"/>
      <c r="AQ13" s="16"/>
      <c r="AR13" s="16"/>
      <c r="AS13" s="17"/>
      <c r="AT13" s="17"/>
      <c r="AU13" s="17"/>
      <c r="AV13" s="17"/>
      <c r="AW13" s="17"/>
      <c r="AX13" s="17"/>
      <c r="AY13" s="17"/>
      <c r="AZ13" s="17"/>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row>
    <row r="14" spans="1:108" x14ac:dyDescent="0.2">
      <c r="B14" s="531" t="str">
        <f>IF((OR('Inputs and eligible population'!E11="&lt;select&gt;",'Inputs and eligible population'!E11="")), "-", 'Inputs and eligible population'!E12)</f>
        <v>Scotland</v>
      </c>
      <c r="C14" s="532">
        <f>IF(OR(B14="", B14="-"), "",VLOOKUP((CONCATENATE($N7," - ",$B14)),$C$23:$GN$73,4,FALSE))</f>
        <v>5490100</v>
      </c>
      <c r="D14" s="533">
        <f>IF(OR(C14="", C14="-"), "",VLOOKUP((CONCATENATE($N7," - ",$B14)),$C$23:$GN$73,2,FALSE))</f>
        <v>2541946</v>
      </c>
      <c r="E14" s="533">
        <f>IF(OR(D14="", D14="-"), "",VLOOKUP((CONCATENATE($N7," - ",$B14)),$C$23:$GN$73,3,FALSE))</f>
        <v>2700886</v>
      </c>
      <c r="F14" s="533">
        <f>IF(OR(E14="", E14="-"), "",VLOOKUP((CONCATENATE($N7," - ",$B14)),$C$23:$GN$73,9,FALSE))</f>
        <v>362496</v>
      </c>
      <c r="G14" s="533">
        <f>IF(OR(F14="", F14="-"), "",VLOOKUP((CONCATENATE($N7," - ",$B14)),$C$23:$GN$73,10,FALSE))</f>
        <v>344579</v>
      </c>
      <c r="H14" s="533">
        <f>IF(OR(G14="", G14="-"), "",VLOOKUP((CONCATENATE($N7," - ",$B14)),$C$23:$GN$73,11,FALSE))</f>
        <v>2335786</v>
      </c>
      <c r="I14" s="533">
        <f>IF(OR(H14="", H14="-"), "",VLOOKUP((CONCATENATE($N7," - ",$B14)),$C$23:$GN$73,12,FALSE))</f>
        <v>2505771</v>
      </c>
      <c r="J14" s="532">
        <f>IFERROR(D14+E14, "")</f>
        <v>5242832</v>
      </c>
      <c r="P14" s="18"/>
      <c r="V14" s="524" t="s">
        <v>69</v>
      </c>
    </row>
    <row r="15" spans="1:108" x14ac:dyDescent="0.2">
      <c r="B15" s="531" t="str">
        <f>'Inputs and eligible population'!C17</f>
        <v>Manually entered current locality population (n/a)</v>
      </c>
      <c r="C15" s="532" t="str">
        <f>IF(OR('Inputs and eligible population'!E17="",'Inputs and eligible population'!E17="-"),"",'Inputs and eligible population'!E17)</f>
        <v/>
      </c>
      <c r="D15" s="533" t="str">
        <f>IFERROR(C15*($D$23/100000), "")</f>
        <v/>
      </c>
      <c r="E15" s="533" t="str">
        <f>IFERROR(C15*($E$23/100000), "")</f>
        <v/>
      </c>
      <c r="F15" s="533" t="str">
        <f>IFERROR(C15*($K$23/100000), "")</f>
        <v/>
      </c>
      <c r="G15" s="533" t="str">
        <f>IFERROR(C15*($L$23/100000), "")</f>
        <v/>
      </c>
      <c r="H15" s="533" t="str">
        <f>IFERROR(C15*($M$23/100000), "")</f>
        <v/>
      </c>
      <c r="I15" s="533" t="str">
        <f>IFERROR(C15*($N$23/100000), "")</f>
        <v/>
      </c>
      <c r="J15" s="532">
        <f>IF('Inputs and eligible population'!E17=0,'Population selection'!J14,'Inputs and eligible population'!E17)</f>
        <v>5242832</v>
      </c>
      <c r="P15" s="18"/>
      <c r="V15" s="524" t="s">
        <v>70</v>
      </c>
    </row>
    <row r="16" spans="1:108" ht="15" x14ac:dyDescent="0.25">
      <c r="B16" s="534" t="s">
        <v>71</v>
      </c>
      <c r="C16" s="535">
        <f>IF(C15&gt;0,C14,C15)</f>
        <v>5490100</v>
      </c>
      <c r="D16" s="535">
        <f>IF(D15&gt;0,D14,D15)</f>
        <v>2541946</v>
      </c>
      <c r="E16" s="535">
        <f>IF(E15&gt;0,E14,E15)</f>
        <v>2700886</v>
      </c>
      <c r="F16" s="535">
        <f t="shared" ref="F16:G16" si="0">IF(F15&gt;0,F14,F15)</f>
        <v>362496</v>
      </c>
      <c r="G16" s="535">
        <f t="shared" si="0"/>
        <v>344579</v>
      </c>
      <c r="H16" s="535">
        <f t="shared" ref="H16" si="1">IF(H15&gt;0,H14,H15)</f>
        <v>2335786</v>
      </c>
      <c r="I16" s="535">
        <f t="shared" ref="I16" si="2">IF(I15&gt;0,I14,I15)</f>
        <v>2505771</v>
      </c>
      <c r="J16" s="535">
        <f>SUM(J15)</f>
        <v>5242832</v>
      </c>
      <c r="L16" s="19"/>
      <c r="M16" s="19"/>
      <c r="P16" s="201">
        <f>COUNTIF(P6:P14, TRUE)</f>
        <v>2</v>
      </c>
    </row>
    <row r="17" spans="1:196" ht="15" x14ac:dyDescent="0.25">
      <c r="N17" s="21">
        <f>N18+M19</f>
        <v>451963.74319999997</v>
      </c>
      <c r="O17" s="11" t="s">
        <v>799</v>
      </c>
      <c r="P17" s="826">
        <f>N17/M18</f>
        <v>9.3350908230554752E-2</v>
      </c>
      <c r="S17" s="20"/>
      <c r="T17" s="20"/>
    </row>
    <row r="18" spans="1:196" ht="45.6" customHeight="1" x14ac:dyDescent="0.2">
      <c r="B18" s="44"/>
      <c r="C18" s="69"/>
      <c r="D18" s="529" t="s">
        <v>58</v>
      </c>
      <c r="E18" s="529" t="s">
        <v>58</v>
      </c>
      <c r="F18" s="44"/>
      <c r="I18" s="44"/>
      <c r="J18" s="44"/>
      <c r="K18" s="21"/>
      <c r="M18" s="21">
        <f>'Inputs and eligible population'!F29</f>
        <v>4841557</v>
      </c>
      <c r="N18" s="21">
        <f>M18*'Inputs and eligible population'!E31</f>
        <v>404754.16519999999</v>
      </c>
      <c r="O18" s="11" t="s">
        <v>77</v>
      </c>
      <c r="P18" s="21"/>
    </row>
    <row r="19" spans="1:196" ht="23.1" customHeight="1" x14ac:dyDescent="0.25">
      <c r="D19" s="536">
        <v>2</v>
      </c>
      <c r="E19" s="536">
        <v>3</v>
      </c>
      <c r="F19" s="536">
        <v>4</v>
      </c>
      <c r="G19" s="536">
        <v>5</v>
      </c>
      <c r="H19" s="536">
        <v>6</v>
      </c>
      <c r="J19" s="794" t="s">
        <v>798</v>
      </c>
      <c r="K19" s="795">
        <f>SUM(T25:AA25)</f>
        <v>237760</v>
      </c>
      <c r="L19" s="796">
        <f>SUM(DG25:DN25)</f>
        <v>225079</v>
      </c>
      <c r="M19" s="793">
        <f>(K19+L19)*10.2%</f>
        <v>47209.577999999994</v>
      </c>
      <c r="O19" s="21">
        <f>SUM(O25:DA25)</f>
        <v>2668951</v>
      </c>
      <c r="P19" s="21">
        <f>SUM(DB25:GN25)</f>
        <v>2821149</v>
      </c>
      <c r="Q19" s="21">
        <f>P19+O19</f>
        <v>5490100</v>
      </c>
    </row>
    <row r="20" spans="1:196" s="1" customFormat="1" ht="48" customHeight="1" x14ac:dyDescent="0.25">
      <c r="A20" s="537" t="s">
        <v>44</v>
      </c>
      <c r="B20" s="538" t="s">
        <v>72</v>
      </c>
      <c r="C20" s="538" t="s">
        <v>73</v>
      </c>
      <c r="D20" s="539" t="s">
        <v>74</v>
      </c>
      <c r="E20" s="539" t="s">
        <v>74</v>
      </c>
      <c r="F20" s="539" t="s">
        <v>75</v>
      </c>
      <c r="G20" s="539" t="s">
        <v>75</v>
      </c>
      <c r="H20" s="539" t="s">
        <v>75</v>
      </c>
      <c r="I20" s="538" t="s">
        <v>74</v>
      </c>
      <c r="J20" s="538" t="s">
        <v>74</v>
      </c>
      <c r="K20" s="539" t="s">
        <v>76</v>
      </c>
      <c r="L20" s="539" t="s">
        <v>76</v>
      </c>
      <c r="M20" s="540" t="s">
        <v>77</v>
      </c>
      <c r="N20" s="540" t="s">
        <v>77</v>
      </c>
      <c r="O20" s="541" t="s">
        <v>78</v>
      </c>
      <c r="P20" s="542"/>
      <c r="Q20" s="542"/>
      <c r="R20" s="542"/>
      <c r="S20" s="542"/>
      <c r="T20" s="542"/>
      <c r="U20" s="542"/>
      <c r="V20" s="542"/>
      <c r="W20" s="542"/>
      <c r="X20" s="542"/>
      <c r="Y20" s="542"/>
      <c r="Z20" s="542"/>
      <c r="AA20" s="542"/>
      <c r="AB20" s="542"/>
      <c r="AC20" s="542"/>
      <c r="AD20" s="542"/>
      <c r="AE20" s="542"/>
      <c r="AF20" s="542"/>
      <c r="AG20" s="542"/>
      <c r="AH20" s="542"/>
      <c r="AI20" s="542"/>
      <c r="AJ20" s="542"/>
      <c r="AK20" s="542"/>
      <c r="AL20" s="542"/>
      <c r="AM20" s="542"/>
      <c r="AN20" s="542"/>
      <c r="AO20" s="542"/>
      <c r="AP20" s="542"/>
      <c r="AQ20" s="542"/>
      <c r="AR20" s="542"/>
      <c r="AS20" s="542"/>
      <c r="AT20" s="542"/>
      <c r="AU20" s="542"/>
      <c r="AV20" s="542"/>
      <c r="AW20" s="542"/>
      <c r="AX20" s="542"/>
      <c r="AY20" s="542"/>
      <c r="AZ20" s="542"/>
      <c r="BA20" s="542"/>
      <c r="BB20" s="542"/>
      <c r="BC20" s="542"/>
      <c r="BD20" s="542"/>
      <c r="BE20" s="542"/>
      <c r="BF20" s="542"/>
      <c r="BG20" s="542"/>
      <c r="BH20" s="542"/>
      <c r="BI20" s="542"/>
      <c r="BJ20" s="542"/>
      <c r="BK20" s="542"/>
      <c r="BL20" s="542"/>
      <c r="BM20" s="542"/>
      <c r="BN20" s="542"/>
      <c r="BO20" s="542"/>
      <c r="BP20" s="542"/>
      <c r="BQ20" s="542"/>
      <c r="BR20" s="542"/>
      <c r="BS20" s="542"/>
      <c r="BT20" s="542"/>
      <c r="BU20" s="542"/>
      <c r="BV20" s="542"/>
      <c r="BW20" s="542"/>
      <c r="BX20" s="542"/>
      <c r="BY20" s="542"/>
      <c r="BZ20" s="542"/>
      <c r="CA20" s="542"/>
      <c r="CB20" s="542"/>
      <c r="CC20" s="542"/>
      <c r="CD20" s="542"/>
      <c r="CE20" s="542"/>
      <c r="CF20" s="542"/>
      <c r="CG20" s="542"/>
      <c r="CH20" s="542"/>
      <c r="CI20" s="542"/>
      <c r="CJ20" s="542"/>
      <c r="CK20" s="542"/>
      <c r="CL20" s="542"/>
      <c r="CM20" s="542"/>
      <c r="CN20" s="542"/>
      <c r="CO20" s="542"/>
      <c r="CP20" s="542"/>
      <c r="CQ20" s="542"/>
      <c r="CR20" s="542"/>
      <c r="CS20" s="542"/>
      <c r="CT20" s="542"/>
      <c r="CU20" s="542"/>
      <c r="CV20" s="542"/>
      <c r="CW20" s="542"/>
      <c r="CX20" s="542"/>
      <c r="CY20" s="542"/>
      <c r="CZ20" s="542"/>
      <c r="DA20" s="543"/>
      <c r="DB20" s="544" t="s">
        <v>79</v>
      </c>
      <c r="DC20" s="544"/>
      <c r="DD20" s="544"/>
      <c r="DE20" s="544"/>
      <c r="DF20" s="544"/>
      <c r="DG20" s="544"/>
      <c r="DH20" s="544"/>
      <c r="DI20" s="544"/>
      <c r="DJ20" s="544"/>
      <c r="DK20" s="544"/>
      <c r="DL20" s="544"/>
      <c r="DM20" s="544"/>
      <c r="DN20" s="544"/>
      <c r="DO20" s="544"/>
      <c r="DP20" s="544"/>
      <c r="DQ20" s="544"/>
      <c r="DR20" s="544"/>
      <c r="DS20" s="544"/>
      <c r="DT20" s="544"/>
      <c r="DU20" s="544"/>
      <c r="DV20" s="544"/>
      <c r="DW20" s="544"/>
      <c r="DX20" s="544"/>
      <c r="DY20" s="544"/>
      <c r="DZ20" s="544"/>
      <c r="EA20" s="544"/>
      <c r="EB20" s="544"/>
      <c r="EC20" s="544"/>
      <c r="ED20" s="544"/>
      <c r="EE20" s="544"/>
      <c r="EF20" s="544"/>
      <c r="EG20" s="544"/>
      <c r="EH20" s="544"/>
      <c r="EI20" s="544"/>
      <c r="EJ20" s="544"/>
      <c r="EK20" s="544"/>
      <c r="EL20" s="544"/>
      <c r="EM20" s="544"/>
      <c r="EN20" s="544"/>
      <c r="EO20" s="544"/>
      <c r="EP20" s="544"/>
      <c r="EQ20" s="544"/>
      <c r="ER20" s="544"/>
      <c r="ES20" s="544"/>
      <c r="ET20" s="544"/>
      <c r="EU20" s="544"/>
      <c r="EV20" s="544"/>
      <c r="EW20" s="544"/>
      <c r="EX20" s="544"/>
      <c r="EY20" s="544"/>
      <c r="EZ20" s="544"/>
      <c r="FA20" s="544"/>
      <c r="FB20" s="544"/>
      <c r="FC20" s="544"/>
      <c r="FD20" s="544"/>
      <c r="FE20" s="544"/>
      <c r="FF20" s="544"/>
      <c r="FG20" s="544"/>
      <c r="FH20" s="544"/>
      <c r="FI20" s="544"/>
      <c r="FJ20" s="544"/>
      <c r="FK20" s="544"/>
      <c r="FL20" s="544"/>
      <c r="FM20" s="544"/>
      <c r="FN20" s="544"/>
      <c r="FO20" s="544"/>
      <c r="FP20" s="544"/>
      <c r="FQ20" s="544"/>
      <c r="FR20" s="544"/>
      <c r="FS20" s="544"/>
      <c r="FT20" s="544"/>
      <c r="FU20" s="544"/>
      <c r="FV20" s="544"/>
      <c r="FW20" s="544"/>
      <c r="FX20" s="544"/>
      <c r="FY20" s="544"/>
      <c r="FZ20" s="544"/>
      <c r="GA20" s="544"/>
      <c r="GB20" s="544"/>
      <c r="GC20" s="544"/>
      <c r="GD20" s="544"/>
      <c r="GE20" s="544"/>
      <c r="GF20" s="544"/>
      <c r="GG20" s="544"/>
      <c r="GH20" s="544"/>
      <c r="GI20" s="544"/>
      <c r="GJ20" s="544"/>
      <c r="GK20" s="544"/>
      <c r="GL20" s="544"/>
      <c r="GM20" s="544"/>
      <c r="GN20" s="545"/>
    </row>
    <row r="21" spans="1:196" s="8" customFormat="1" ht="30" x14ac:dyDescent="0.25">
      <c r="A21" s="537"/>
      <c r="B21" s="538"/>
      <c r="C21" s="538"/>
      <c r="D21" s="546" t="s">
        <v>62</v>
      </c>
      <c r="E21" s="529" t="s">
        <v>63</v>
      </c>
      <c r="F21" s="539" t="s">
        <v>80</v>
      </c>
      <c r="G21" s="547" t="s">
        <v>78</v>
      </c>
      <c r="H21" s="547" t="s">
        <v>79</v>
      </c>
      <c r="I21" s="539" t="s">
        <v>78</v>
      </c>
      <c r="J21" s="547" t="s">
        <v>79</v>
      </c>
      <c r="K21" s="539" t="s">
        <v>78</v>
      </c>
      <c r="L21" s="548" t="s">
        <v>79</v>
      </c>
      <c r="M21" s="344" t="s">
        <v>78</v>
      </c>
      <c r="N21" s="548" t="s">
        <v>79</v>
      </c>
      <c r="O21" s="22">
        <v>0</v>
      </c>
      <c r="P21" s="23">
        <v>1</v>
      </c>
      <c r="Q21" s="23">
        <v>2</v>
      </c>
      <c r="R21" s="23">
        <v>3</v>
      </c>
      <c r="S21" s="23">
        <v>4</v>
      </c>
      <c r="T21" s="23">
        <v>5</v>
      </c>
      <c r="U21" s="23">
        <v>6</v>
      </c>
      <c r="V21" s="23">
        <v>7</v>
      </c>
      <c r="W21" s="23">
        <v>8</v>
      </c>
      <c r="X21" s="23">
        <v>9</v>
      </c>
      <c r="Y21" s="23">
        <v>10</v>
      </c>
      <c r="Z21" s="23">
        <v>11</v>
      </c>
      <c r="AA21" s="23">
        <v>12</v>
      </c>
      <c r="AB21" s="23">
        <v>13</v>
      </c>
      <c r="AC21" s="23">
        <v>14</v>
      </c>
      <c r="AD21" s="23">
        <v>15</v>
      </c>
      <c r="AE21" s="23">
        <v>16</v>
      </c>
      <c r="AF21" s="23">
        <v>17</v>
      </c>
      <c r="AG21" s="23">
        <v>18</v>
      </c>
      <c r="AH21" s="23">
        <v>19</v>
      </c>
      <c r="AI21" s="23">
        <v>20</v>
      </c>
      <c r="AJ21" s="23">
        <v>21</v>
      </c>
      <c r="AK21" s="23">
        <v>22</v>
      </c>
      <c r="AL21" s="23">
        <v>23</v>
      </c>
      <c r="AM21" s="23">
        <v>24</v>
      </c>
      <c r="AN21" s="23">
        <v>25</v>
      </c>
      <c r="AO21" s="23">
        <v>26</v>
      </c>
      <c r="AP21" s="23">
        <v>27</v>
      </c>
      <c r="AQ21" s="23">
        <v>28</v>
      </c>
      <c r="AR21" s="23">
        <v>29</v>
      </c>
      <c r="AS21" s="23">
        <v>30</v>
      </c>
      <c r="AT21" s="23">
        <v>31</v>
      </c>
      <c r="AU21" s="23">
        <v>32</v>
      </c>
      <c r="AV21" s="23">
        <v>33</v>
      </c>
      <c r="AW21" s="23">
        <v>34</v>
      </c>
      <c r="AX21" s="23">
        <v>35</v>
      </c>
      <c r="AY21" s="23">
        <v>36</v>
      </c>
      <c r="AZ21" s="23">
        <v>37</v>
      </c>
      <c r="BA21" s="23">
        <v>38</v>
      </c>
      <c r="BB21" s="23">
        <v>39</v>
      </c>
      <c r="BC21" s="23">
        <v>40</v>
      </c>
      <c r="BD21" s="23">
        <v>41</v>
      </c>
      <c r="BE21" s="23">
        <v>42</v>
      </c>
      <c r="BF21" s="23">
        <v>43</v>
      </c>
      <c r="BG21" s="23">
        <v>44</v>
      </c>
      <c r="BH21" s="23">
        <v>45</v>
      </c>
      <c r="BI21" s="23">
        <v>46</v>
      </c>
      <c r="BJ21" s="23">
        <v>47</v>
      </c>
      <c r="BK21" s="23">
        <v>48</v>
      </c>
      <c r="BL21" s="23">
        <v>49</v>
      </c>
      <c r="BM21" s="23">
        <v>50</v>
      </c>
      <c r="BN21" s="23">
        <v>51</v>
      </c>
      <c r="BO21" s="23">
        <v>52</v>
      </c>
      <c r="BP21" s="23">
        <v>53</v>
      </c>
      <c r="BQ21" s="23">
        <v>54</v>
      </c>
      <c r="BR21" s="23">
        <v>55</v>
      </c>
      <c r="BS21" s="23">
        <v>56</v>
      </c>
      <c r="BT21" s="23">
        <v>57</v>
      </c>
      <c r="BU21" s="23">
        <v>58</v>
      </c>
      <c r="BV21" s="23">
        <v>59</v>
      </c>
      <c r="BW21" s="23">
        <v>60</v>
      </c>
      <c r="BX21" s="23">
        <v>61</v>
      </c>
      <c r="BY21" s="23">
        <v>62</v>
      </c>
      <c r="BZ21" s="23">
        <v>63</v>
      </c>
      <c r="CA21" s="23">
        <v>64</v>
      </c>
      <c r="CB21" s="23">
        <v>65</v>
      </c>
      <c r="CC21" s="23">
        <v>66</v>
      </c>
      <c r="CD21" s="23">
        <v>67</v>
      </c>
      <c r="CE21" s="23">
        <v>68</v>
      </c>
      <c r="CF21" s="23">
        <v>69</v>
      </c>
      <c r="CG21" s="23">
        <v>70</v>
      </c>
      <c r="CH21" s="23">
        <v>71</v>
      </c>
      <c r="CI21" s="23">
        <v>72</v>
      </c>
      <c r="CJ21" s="23">
        <v>73</v>
      </c>
      <c r="CK21" s="23">
        <v>74</v>
      </c>
      <c r="CL21" s="23">
        <v>75</v>
      </c>
      <c r="CM21" s="23">
        <v>76</v>
      </c>
      <c r="CN21" s="23">
        <v>77</v>
      </c>
      <c r="CO21" s="23">
        <v>78</v>
      </c>
      <c r="CP21" s="23">
        <v>79</v>
      </c>
      <c r="CQ21" s="23">
        <v>80</v>
      </c>
      <c r="CR21" s="23">
        <v>81</v>
      </c>
      <c r="CS21" s="23">
        <v>82</v>
      </c>
      <c r="CT21" s="23">
        <v>83</v>
      </c>
      <c r="CU21" s="23">
        <v>84</v>
      </c>
      <c r="CV21" s="23">
        <v>85</v>
      </c>
      <c r="CW21" s="23">
        <v>86</v>
      </c>
      <c r="CX21" s="23">
        <v>87</v>
      </c>
      <c r="CY21" s="23">
        <v>88</v>
      </c>
      <c r="CZ21" s="23">
        <v>89</v>
      </c>
      <c r="DA21" s="549" t="s">
        <v>81</v>
      </c>
      <c r="DB21" s="23">
        <v>0</v>
      </c>
      <c r="DC21" s="23">
        <v>1</v>
      </c>
      <c r="DD21" s="23">
        <v>2</v>
      </c>
      <c r="DE21" s="23">
        <v>3</v>
      </c>
      <c r="DF21" s="23">
        <v>4</v>
      </c>
      <c r="DG21" s="23">
        <v>5</v>
      </c>
      <c r="DH21" s="23">
        <v>6</v>
      </c>
      <c r="DI21" s="23">
        <v>7</v>
      </c>
      <c r="DJ21" s="23">
        <v>8</v>
      </c>
      <c r="DK21" s="23">
        <v>9</v>
      </c>
      <c r="DL21" s="23">
        <v>10</v>
      </c>
      <c r="DM21" s="23">
        <v>11</v>
      </c>
      <c r="DN21" s="23">
        <v>12</v>
      </c>
      <c r="DO21" s="23">
        <v>13</v>
      </c>
      <c r="DP21" s="23">
        <v>14</v>
      </c>
      <c r="DQ21" s="23">
        <v>15</v>
      </c>
      <c r="DR21" s="23">
        <v>16</v>
      </c>
      <c r="DS21" s="23">
        <v>17</v>
      </c>
      <c r="DT21" s="23">
        <v>18</v>
      </c>
      <c r="DU21" s="23">
        <v>19</v>
      </c>
      <c r="DV21" s="23">
        <v>20</v>
      </c>
      <c r="DW21" s="23">
        <v>21</v>
      </c>
      <c r="DX21" s="23">
        <v>22</v>
      </c>
      <c r="DY21" s="23">
        <v>23</v>
      </c>
      <c r="DZ21" s="23">
        <v>24</v>
      </c>
      <c r="EA21" s="23">
        <v>25</v>
      </c>
      <c r="EB21" s="23">
        <v>26</v>
      </c>
      <c r="EC21" s="23">
        <v>27</v>
      </c>
      <c r="ED21" s="23">
        <v>28</v>
      </c>
      <c r="EE21" s="23">
        <v>29</v>
      </c>
      <c r="EF21" s="23">
        <v>30</v>
      </c>
      <c r="EG21" s="23">
        <v>31</v>
      </c>
      <c r="EH21" s="23">
        <v>32</v>
      </c>
      <c r="EI21" s="23">
        <v>33</v>
      </c>
      <c r="EJ21" s="23">
        <v>34</v>
      </c>
      <c r="EK21" s="23">
        <v>35</v>
      </c>
      <c r="EL21" s="23">
        <v>36</v>
      </c>
      <c r="EM21" s="23">
        <v>37</v>
      </c>
      <c r="EN21" s="23">
        <v>38</v>
      </c>
      <c r="EO21" s="23">
        <v>39</v>
      </c>
      <c r="EP21" s="23">
        <v>40</v>
      </c>
      <c r="EQ21" s="23">
        <v>41</v>
      </c>
      <c r="ER21" s="23">
        <v>42</v>
      </c>
      <c r="ES21" s="23">
        <v>43</v>
      </c>
      <c r="ET21" s="23">
        <v>44</v>
      </c>
      <c r="EU21" s="23">
        <v>45</v>
      </c>
      <c r="EV21" s="23">
        <v>46</v>
      </c>
      <c r="EW21" s="23">
        <v>47</v>
      </c>
      <c r="EX21" s="23">
        <v>48</v>
      </c>
      <c r="EY21" s="23">
        <v>49</v>
      </c>
      <c r="EZ21" s="23">
        <v>50</v>
      </c>
      <c r="FA21" s="23">
        <v>51</v>
      </c>
      <c r="FB21" s="23">
        <v>52</v>
      </c>
      <c r="FC21" s="23">
        <v>53</v>
      </c>
      <c r="FD21" s="23">
        <v>54</v>
      </c>
      <c r="FE21" s="23">
        <v>55</v>
      </c>
      <c r="FF21" s="23">
        <v>56</v>
      </c>
      <c r="FG21" s="23">
        <v>57</v>
      </c>
      <c r="FH21" s="23">
        <v>58</v>
      </c>
      <c r="FI21" s="23">
        <v>59</v>
      </c>
      <c r="FJ21" s="23">
        <v>60</v>
      </c>
      <c r="FK21" s="23">
        <v>61</v>
      </c>
      <c r="FL21" s="23">
        <v>62</v>
      </c>
      <c r="FM21" s="23">
        <v>63</v>
      </c>
      <c r="FN21" s="23">
        <v>64</v>
      </c>
      <c r="FO21" s="23">
        <v>65</v>
      </c>
      <c r="FP21" s="23">
        <v>66</v>
      </c>
      <c r="FQ21" s="23">
        <v>67</v>
      </c>
      <c r="FR21" s="23">
        <v>68</v>
      </c>
      <c r="FS21" s="23">
        <v>69</v>
      </c>
      <c r="FT21" s="23">
        <v>70</v>
      </c>
      <c r="FU21" s="23">
        <v>71</v>
      </c>
      <c r="FV21" s="23">
        <v>72</v>
      </c>
      <c r="FW21" s="23">
        <v>73</v>
      </c>
      <c r="FX21" s="23">
        <v>74</v>
      </c>
      <c r="FY21" s="23">
        <v>75</v>
      </c>
      <c r="FZ21" s="23">
        <v>76</v>
      </c>
      <c r="GA21" s="23">
        <v>77</v>
      </c>
      <c r="GB21" s="23">
        <v>78</v>
      </c>
      <c r="GC21" s="23">
        <v>79</v>
      </c>
      <c r="GD21" s="23">
        <v>80</v>
      </c>
      <c r="GE21" s="23">
        <v>81</v>
      </c>
      <c r="GF21" s="23">
        <v>82</v>
      </c>
      <c r="GG21" s="23">
        <v>83</v>
      </c>
      <c r="GH21" s="23">
        <v>84</v>
      </c>
      <c r="GI21" s="23">
        <v>85</v>
      </c>
      <c r="GJ21" s="23">
        <v>86</v>
      </c>
      <c r="GK21" s="23">
        <v>87</v>
      </c>
      <c r="GL21" s="23">
        <v>88</v>
      </c>
      <c r="GM21" s="23">
        <v>89</v>
      </c>
      <c r="GN21" s="549" t="s">
        <v>81</v>
      </c>
    </row>
    <row r="22" spans="1:196" s="1" customFormat="1" x14ac:dyDescent="0.2">
      <c r="A22" s="24"/>
      <c r="B22" s="550"/>
      <c r="C22" s="551"/>
      <c r="D22" s="552"/>
      <c r="E22" s="552"/>
      <c r="F22" s="553"/>
      <c r="G22" s="553"/>
      <c r="H22" s="552"/>
      <c r="I22" s="552"/>
      <c r="J22" s="552"/>
      <c r="K22" s="553"/>
      <c r="L22" s="552"/>
      <c r="M22" s="553"/>
      <c r="N22" s="553"/>
      <c r="O22" s="553"/>
      <c r="P22" s="553"/>
      <c r="Q22" s="553"/>
      <c r="R22" s="553"/>
      <c r="S22" s="553"/>
      <c r="T22" s="553"/>
      <c r="U22" s="553"/>
      <c r="V22" s="553"/>
      <c r="W22" s="553"/>
      <c r="X22" s="553"/>
      <c r="Y22" s="553"/>
      <c r="Z22" s="553"/>
      <c r="AA22" s="553"/>
      <c r="AB22" s="553"/>
      <c r="AC22" s="553"/>
      <c r="AD22" s="553"/>
      <c r="AE22" s="553"/>
      <c r="AF22" s="553"/>
      <c r="AG22" s="553"/>
      <c r="AH22" s="553"/>
      <c r="AI22" s="553"/>
      <c r="AJ22" s="553"/>
      <c r="AK22" s="553"/>
      <c r="AL22" s="553"/>
      <c r="AM22" s="553"/>
      <c r="AN22" s="553"/>
      <c r="AO22" s="553"/>
      <c r="AP22" s="553"/>
      <c r="AQ22" s="553"/>
      <c r="AR22" s="553"/>
      <c r="AS22" s="553"/>
      <c r="AT22" s="553"/>
      <c r="AU22" s="553"/>
      <c r="AV22" s="553"/>
      <c r="AW22" s="553"/>
      <c r="AX22" s="553"/>
      <c r="AY22" s="553"/>
      <c r="AZ22" s="553"/>
      <c r="BA22" s="553"/>
      <c r="BB22" s="553"/>
      <c r="BC22" s="553"/>
      <c r="BD22" s="553"/>
      <c r="BE22" s="553"/>
      <c r="BF22" s="553"/>
      <c r="BG22" s="553"/>
      <c r="BH22" s="553"/>
      <c r="BI22" s="553"/>
      <c r="BJ22" s="553"/>
      <c r="BK22" s="553"/>
      <c r="BL22" s="553"/>
      <c r="BM22" s="553"/>
      <c r="BN22" s="553"/>
      <c r="BO22" s="553"/>
      <c r="BP22" s="553"/>
      <c r="BQ22" s="553"/>
      <c r="BR22" s="553"/>
      <c r="BS22" s="553"/>
      <c r="BT22" s="553"/>
      <c r="BU22" s="553"/>
      <c r="BV22" s="553"/>
      <c r="BW22" s="553"/>
      <c r="BX22" s="553"/>
      <c r="BY22" s="553"/>
      <c r="BZ22" s="553"/>
      <c r="CA22" s="553"/>
      <c r="CB22" s="553"/>
      <c r="CC22" s="553"/>
      <c r="CD22" s="553"/>
      <c r="CE22" s="553"/>
      <c r="CF22" s="553"/>
      <c r="CG22" s="553"/>
      <c r="CH22" s="553"/>
      <c r="CI22" s="553"/>
      <c r="CJ22" s="553"/>
      <c r="CK22" s="553"/>
      <c r="CL22" s="553"/>
      <c r="CM22" s="553"/>
      <c r="CN22" s="553"/>
      <c r="CO22" s="553"/>
      <c r="CP22" s="553"/>
      <c r="CQ22" s="553"/>
      <c r="CR22" s="553"/>
      <c r="CS22" s="553"/>
      <c r="CT22" s="553"/>
      <c r="CU22" s="553"/>
      <c r="CV22" s="553"/>
      <c r="CW22" s="553"/>
      <c r="CX22" s="553"/>
      <c r="CY22" s="553"/>
      <c r="CZ22" s="553"/>
      <c r="DA22" s="552"/>
      <c r="DB22" s="553"/>
      <c r="DC22" s="553"/>
      <c r="DD22" s="553"/>
      <c r="DE22" s="553"/>
      <c r="DF22" s="553"/>
      <c r="DG22" s="553"/>
      <c r="DH22" s="553"/>
      <c r="DI22" s="553"/>
      <c r="DJ22" s="553"/>
      <c r="DK22" s="553"/>
      <c r="DL22" s="553"/>
      <c r="DM22" s="553"/>
      <c r="DN22" s="553"/>
      <c r="DO22" s="553"/>
      <c r="DP22" s="553"/>
      <c r="DQ22" s="553"/>
      <c r="DR22" s="553"/>
      <c r="DS22" s="553"/>
      <c r="DT22" s="553"/>
      <c r="DU22" s="553"/>
      <c r="DV22" s="553"/>
      <c r="DW22" s="553"/>
      <c r="DX22" s="553"/>
      <c r="DY22" s="553"/>
      <c r="DZ22" s="553"/>
      <c r="EA22" s="553"/>
      <c r="EB22" s="553"/>
      <c r="EC22" s="553"/>
      <c r="ED22" s="553"/>
      <c r="EE22" s="553"/>
      <c r="EF22" s="553"/>
      <c r="EG22" s="553"/>
      <c r="EH22" s="553"/>
      <c r="EI22" s="553"/>
      <c r="EJ22" s="553"/>
      <c r="EK22" s="553"/>
      <c r="EL22" s="553"/>
      <c r="EM22" s="553"/>
      <c r="EN22" s="553"/>
      <c r="EO22" s="553"/>
      <c r="EP22" s="553"/>
      <c r="EQ22" s="553"/>
      <c r="ER22" s="553"/>
      <c r="ES22" s="553"/>
      <c r="ET22" s="553"/>
      <c r="EU22" s="553"/>
      <c r="EV22" s="553"/>
      <c r="EW22" s="553"/>
      <c r="EX22" s="553"/>
      <c r="EY22" s="553"/>
      <c r="EZ22" s="553"/>
      <c r="FA22" s="553"/>
      <c r="FB22" s="553"/>
      <c r="FC22" s="553"/>
      <c r="FD22" s="553"/>
      <c r="FE22" s="553"/>
      <c r="FF22" s="553"/>
      <c r="FG22" s="553"/>
      <c r="FH22" s="553"/>
      <c r="FI22" s="553"/>
      <c r="FJ22" s="553"/>
      <c r="FK22" s="553"/>
      <c r="FL22" s="553"/>
      <c r="FM22" s="553"/>
      <c r="FN22" s="553"/>
      <c r="FO22" s="553"/>
      <c r="FP22" s="553"/>
      <c r="FQ22" s="553"/>
      <c r="FR22" s="553"/>
      <c r="FS22" s="553"/>
      <c r="FT22" s="553"/>
      <c r="FU22" s="553"/>
      <c r="FV22" s="553"/>
      <c r="FW22" s="553"/>
      <c r="FX22" s="553"/>
      <c r="FY22" s="553"/>
      <c r="FZ22" s="553"/>
      <c r="GA22" s="553"/>
      <c r="GB22" s="553"/>
      <c r="GC22" s="553"/>
      <c r="GD22" s="553"/>
      <c r="GE22" s="553"/>
      <c r="GF22" s="553"/>
      <c r="GG22" s="553"/>
      <c r="GH22" s="553"/>
      <c r="GI22" s="553"/>
      <c r="GJ22" s="553"/>
      <c r="GK22" s="553"/>
      <c r="GL22" s="553"/>
      <c r="GM22" s="553"/>
      <c r="GN22" s="552"/>
    </row>
    <row r="23" spans="1:196" s="37" customFormat="1" ht="21.75" customHeight="1" x14ac:dyDescent="0.25">
      <c r="A23" s="554" t="s">
        <v>42</v>
      </c>
      <c r="B23" s="555" t="s">
        <v>42</v>
      </c>
      <c r="C23" s="556" t="str">
        <f>CONCATENATE(A23, " - ", B23)</f>
        <v>Per 100,000 population - Per 100,000 population</v>
      </c>
      <c r="D23" s="557">
        <f>ROUND((SUM(D25:D25)/SUM($F$25:$F$25))*100000,0)</f>
        <v>46301</v>
      </c>
      <c r="E23" s="557">
        <f>(SUM(E25:E25)/SUM($F$25:$F$25))*100000</f>
        <v>49195.570208192927</v>
      </c>
      <c r="F23" s="36">
        <f>SUM(G23:H23)</f>
        <v>100000</v>
      </c>
      <c r="G23" s="36">
        <f>ROUND((SUM(G25:G25)/SUM($F$25:$F$25))*100000,0)</f>
        <v>48614</v>
      </c>
      <c r="H23" s="557">
        <f>ROUND((SUM(H25:H25)/SUM($F$25:$F$25))*100000,0)</f>
        <v>51386</v>
      </c>
      <c r="I23" s="557">
        <f>ROUND((SUM(I25:I25)/SUM($F$25:$F$25))*100000,0)</f>
        <v>46301</v>
      </c>
      <c r="J23" s="557">
        <f t="shared" ref="J23:AO23" si="3">(SUM(J25:J25)/SUM($F$25:$F$25))*100000</f>
        <v>49195.570208192927</v>
      </c>
      <c r="K23" s="36">
        <f t="shared" si="3"/>
        <v>6602.7212619077973</v>
      </c>
      <c r="L23" s="557">
        <f t="shared" si="3"/>
        <v>6276.3701936212456</v>
      </c>
      <c r="M23" s="557">
        <f t="shared" si="3"/>
        <v>42545.418116245601</v>
      </c>
      <c r="N23" s="557">
        <f t="shared" si="3"/>
        <v>45641.627657055426</v>
      </c>
      <c r="O23" s="36">
        <f t="shared" si="3"/>
        <v>431.6314821223657</v>
      </c>
      <c r="P23" s="36">
        <f t="shared" si="3"/>
        <v>455.05546347061073</v>
      </c>
      <c r="Q23" s="36">
        <f t="shared" si="3"/>
        <v>457.22300140252452</v>
      </c>
      <c r="R23" s="36">
        <f t="shared" si="3"/>
        <v>469.66357625544163</v>
      </c>
      <c r="S23" s="36">
        <f t="shared" si="3"/>
        <v>499.77231744412671</v>
      </c>
      <c r="T23" s="36">
        <f t="shared" si="3"/>
        <v>495.18223711772106</v>
      </c>
      <c r="U23" s="36">
        <f t="shared" si="3"/>
        <v>510.84679696180399</v>
      </c>
      <c r="V23" s="36">
        <f t="shared" si="3"/>
        <v>536.83903754029984</v>
      </c>
      <c r="W23" s="36">
        <f t="shared" si="3"/>
        <v>540.20873936722467</v>
      </c>
      <c r="X23" s="36">
        <f t="shared" si="3"/>
        <v>545.98276898417157</v>
      </c>
      <c r="Y23" s="36">
        <f t="shared" si="3"/>
        <v>553.37789839893628</v>
      </c>
      <c r="Z23" s="36">
        <f t="shared" si="3"/>
        <v>572.68537913699208</v>
      </c>
      <c r="AA23" s="36">
        <f t="shared" si="3"/>
        <v>575.58150124770043</v>
      </c>
      <c r="AB23" s="36">
        <f t="shared" si="3"/>
        <v>569.69818400393444</v>
      </c>
      <c r="AC23" s="36">
        <f t="shared" si="3"/>
        <v>571.79286351796873</v>
      </c>
      <c r="AD23" s="36">
        <f t="shared" si="3"/>
        <v>571.53785905539064</v>
      </c>
      <c r="AE23" s="36">
        <f t="shared" si="3"/>
        <v>558.98799657565428</v>
      </c>
      <c r="AF23" s="36">
        <f t="shared" si="3"/>
        <v>553.25039616764718</v>
      </c>
      <c r="AG23" s="36">
        <f t="shared" si="3"/>
        <v>536.36545782408336</v>
      </c>
      <c r="AH23" s="36">
        <f t="shared" si="3"/>
        <v>582.66698238647746</v>
      </c>
      <c r="AI23" s="36">
        <f t="shared" si="3"/>
        <v>618.4586801697601</v>
      </c>
      <c r="AJ23" s="36">
        <f t="shared" si="3"/>
        <v>609.44245095717747</v>
      </c>
      <c r="AK23" s="36">
        <f t="shared" si="3"/>
        <v>625.92666800240431</v>
      </c>
      <c r="AL23" s="36">
        <f t="shared" si="3"/>
        <v>652.21034225241806</v>
      </c>
      <c r="AM23" s="36">
        <f t="shared" si="3"/>
        <v>632.04677510427859</v>
      </c>
      <c r="AN23" s="36">
        <f t="shared" si="3"/>
        <v>616.36400065572582</v>
      </c>
      <c r="AO23" s="36">
        <f t="shared" si="3"/>
        <v>624.59700187610417</v>
      </c>
      <c r="AP23" s="36">
        <f t="shared" ref="AP23:BU23" si="4">(SUM(AP25:AP25)/SUM($F$25:$F$25))*100000</f>
        <v>610.29853736726113</v>
      </c>
      <c r="AQ23" s="36">
        <f t="shared" si="4"/>
        <v>611.24569679969397</v>
      </c>
      <c r="AR23" s="36">
        <f t="shared" si="4"/>
        <v>620.80836414637258</v>
      </c>
      <c r="AS23" s="36">
        <f t="shared" si="4"/>
        <v>619.98870694522873</v>
      </c>
      <c r="AT23" s="36">
        <f t="shared" si="4"/>
        <v>640.88085827216264</v>
      </c>
      <c r="AU23" s="36">
        <f t="shared" si="4"/>
        <v>660.42512886832662</v>
      </c>
      <c r="AV23" s="36">
        <f t="shared" si="4"/>
        <v>638.65867652683926</v>
      </c>
      <c r="AW23" s="36">
        <f t="shared" si="4"/>
        <v>640.20691790677768</v>
      </c>
      <c r="AX23" s="36">
        <f t="shared" si="4"/>
        <v>653.66751061000707</v>
      </c>
      <c r="AY23" s="36">
        <f t="shared" si="4"/>
        <v>629.15065299357025</v>
      </c>
      <c r="AZ23" s="36">
        <f t="shared" si="4"/>
        <v>634.77896577475815</v>
      </c>
      <c r="BA23" s="36">
        <f t="shared" si="4"/>
        <v>631.75534143276082</v>
      </c>
      <c r="BB23" s="36">
        <f t="shared" si="4"/>
        <v>617.94867124460393</v>
      </c>
      <c r="BC23" s="36">
        <f t="shared" si="4"/>
        <v>615.67184568587095</v>
      </c>
      <c r="BD23" s="36">
        <f t="shared" si="4"/>
        <v>617.36580390156826</v>
      </c>
      <c r="BE23" s="36">
        <f t="shared" si="4"/>
        <v>626.60060836778928</v>
      </c>
      <c r="BF23" s="36">
        <f t="shared" si="4"/>
        <v>614.52432560426951</v>
      </c>
      <c r="BG23" s="36">
        <f t="shared" si="4"/>
        <v>609.05994426331029</v>
      </c>
      <c r="BH23" s="36">
        <f t="shared" si="4"/>
        <v>543.19593450028231</v>
      </c>
      <c r="BI23" s="36">
        <f t="shared" si="4"/>
        <v>542.43092111254805</v>
      </c>
      <c r="BJ23" s="36">
        <f t="shared" si="4"/>
        <v>571.86572193584811</v>
      </c>
      <c r="BK23" s="36">
        <f t="shared" si="4"/>
        <v>576.85652356059086</v>
      </c>
      <c r="BL23" s="36">
        <f t="shared" si="4"/>
        <v>593.28609679240822</v>
      </c>
      <c r="BM23" s="36">
        <f t="shared" si="4"/>
        <v>617.82116901331483</v>
      </c>
      <c r="BN23" s="36">
        <f t="shared" si="4"/>
        <v>642.50195806998045</v>
      </c>
      <c r="BO23" s="36">
        <f t="shared" si="4"/>
        <v>675.16074388444656</v>
      </c>
      <c r="BP23" s="36">
        <f t="shared" si="4"/>
        <v>676.58148303309599</v>
      </c>
      <c r="BQ23" s="36">
        <f t="shared" si="4"/>
        <v>700.67940474672594</v>
      </c>
      <c r="BR23" s="36">
        <f t="shared" si="4"/>
        <v>710.18742827999483</v>
      </c>
      <c r="BS23" s="36">
        <f t="shared" si="4"/>
        <v>718.69364856742129</v>
      </c>
      <c r="BT23" s="36">
        <f t="shared" si="4"/>
        <v>706.76308263966052</v>
      </c>
      <c r="BU23" s="36">
        <f t="shared" si="4"/>
        <v>732.0813828527713</v>
      </c>
      <c r="BV23" s="36">
        <f t="shared" ref="BV23:DA23" si="5">(SUM(BV25:BV25)/SUM($F$25:$F$25))*100000</f>
        <v>720.93404491721469</v>
      </c>
      <c r="BW23" s="36">
        <f t="shared" si="5"/>
        <v>711.97245951804155</v>
      </c>
      <c r="BX23" s="36">
        <f t="shared" si="5"/>
        <v>691.7178193475529</v>
      </c>
      <c r="BY23" s="36">
        <f t="shared" si="5"/>
        <v>666.6545235970201</v>
      </c>
      <c r="BZ23" s="36">
        <f t="shared" si="5"/>
        <v>654.8878891094879</v>
      </c>
      <c r="CA23" s="36">
        <f t="shared" si="5"/>
        <v>639.95191344419959</v>
      </c>
      <c r="CB23" s="36">
        <f t="shared" si="5"/>
        <v>622.21088869055211</v>
      </c>
      <c r="CC23" s="36">
        <f t="shared" si="5"/>
        <v>592.02928908398758</v>
      </c>
      <c r="CD23" s="36">
        <f t="shared" si="5"/>
        <v>570.82748948106587</v>
      </c>
      <c r="CE23" s="36">
        <f t="shared" si="5"/>
        <v>542.84985701535493</v>
      </c>
      <c r="CF23" s="36">
        <f t="shared" si="5"/>
        <v>525.8556310449718</v>
      </c>
      <c r="CG23" s="36">
        <f t="shared" si="5"/>
        <v>511.90324402105608</v>
      </c>
      <c r="CH23" s="36">
        <f t="shared" si="5"/>
        <v>482.48665780222581</v>
      </c>
      <c r="CI23" s="36">
        <f t="shared" si="5"/>
        <v>477.53228538642287</v>
      </c>
      <c r="CJ23" s="36">
        <f t="shared" si="5"/>
        <v>466.76745414473322</v>
      </c>
      <c r="CK23" s="36">
        <f t="shared" si="5"/>
        <v>472.9968488734267</v>
      </c>
      <c r="CL23" s="36">
        <f t="shared" si="5"/>
        <v>472.54148376168013</v>
      </c>
      <c r="CM23" s="36">
        <f t="shared" si="5"/>
        <v>491.08395111200161</v>
      </c>
      <c r="CN23" s="36">
        <f t="shared" si="5"/>
        <v>360.81309994353472</v>
      </c>
      <c r="CO23" s="36">
        <f t="shared" si="5"/>
        <v>321.59705651991766</v>
      </c>
      <c r="CP23" s="36">
        <f t="shared" si="5"/>
        <v>316.97054698457225</v>
      </c>
      <c r="CQ23" s="36">
        <f t="shared" si="5"/>
        <v>286.00571938580356</v>
      </c>
      <c r="CR23" s="36">
        <f t="shared" si="5"/>
        <v>249.81330030418388</v>
      </c>
      <c r="CS23" s="36">
        <f t="shared" si="5"/>
        <v>208.28400211289414</v>
      </c>
      <c r="CT23" s="36">
        <f t="shared" si="5"/>
        <v>201.25316478752666</v>
      </c>
      <c r="CU23" s="36">
        <f t="shared" si="5"/>
        <v>183.31177938471066</v>
      </c>
      <c r="CV23" s="36">
        <f t="shared" si="5"/>
        <v>166.08076355621938</v>
      </c>
      <c r="CW23" s="36">
        <f t="shared" si="5"/>
        <v>141.07211161909621</v>
      </c>
      <c r="CX23" s="36">
        <f t="shared" si="5"/>
        <v>122.2746398061966</v>
      </c>
      <c r="CY23" s="36">
        <f t="shared" si="5"/>
        <v>104.82504872406696</v>
      </c>
      <c r="CZ23" s="36">
        <f t="shared" si="5"/>
        <v>84.861842225096083</v>
      </c>
      <c r="DA23" s="557">
        <f t="shared" si="5"/>
        <v>282.98209504380617</v>
      </c>
      <c r="DB23" s="36">
        <f t="shared" ref="DB23:EG23" si="6">(SUM(DB25:DB25)/SUM($F$25:$F$25))*100000</f>
        <v>409.82860057193852</v>
      </c>
      <c r="DC23" s="36">
        <f t="shared" si="6"/>
        <v>427.89748820604365</v>
      </c>
      <c r="DD23" s="36">
        <f t="shared" si="6"/>
        <v>434.56403344201379</v>
      </c>
      <c r="DE23" s="36">
        <f t="shared" si="6"/>
        <v>447.42354419773773</v>
      </c>
      <c r="DF23" s="36">
        <f t="shared" si="6"/>
        <v>470.82931094151292</v>
      </c>
      <c r="DG23" s="36">
        <f t="shared" si="6"/>
        <v>468.58891459171963</v>
      </c>
      <c r="DH23" s="36">
        <f t="shared" si="6"/>
        <v>482.17700952623818</v>
      </c>
      <c r="DI23" s="36">
        <f t="shared" si="6"/>
        <v>504.43525618841187</v>
      </c>
      <c r="DJ23" s="36">
        <f t="shared" si="6"/>
        <v>511.86681481211639</v>
      </c>
      <c r="DK23" s="36">
        <f t="shared" si="6"/>
        <v>516.67547039216038</v>
      </c>
      <c r="DL23" s="36">
        <f t="shared" si="6"/>
        <v>530.91929108759405</v>
      </c>
      <c r="DM23" s="36">
        <f t="shared" si="6"/>
        <v>539.27979453926162</v>
      </c>
      <c r="DN23" s="36">
        <f t="shared" si="6"/>
        <v>545.78240833500297</v>
      </c>
      <c r="DO23" s="36">
        <f t="shared" si="6"/>
        <v>552.72217263802122</v>
      </c>
      <c r="DP23" s="36">
        <f t="shared" si="6"/>
        <v>544.79881969363032</v>
      </c>
      <c r="DQ23" s="36">
        <f t="shared" si="6"/>
        <v>551.64751097429928</v>
      </c>
      <c r="DR23" s="36">
        <f t="shared" si="6"/>
        <v>527.47673084278972</v>
      </c>
      <c r="DS23" s="36">
        <f t="shared" si="6"/>
        <v>524.81739859018955</v>
      </c>
      <c r="DT23" s="36">
        <f t="shared" si="6"/>
        <v>508.09639168685453</v>
      </c>
      <c r="DU23" s="36">
        <f t="shared" si="6"/>
        <v>567.78565053459863</v>
      </c>
      <c r="DV23" s="36">
        <f t="shared" si="6"/>
        <v>618.67725542339849</v>
      </c>
      <c r="DW23" s="36">
        <f t="shared" si="6"/>
        <v>619.36941039325336</v>
      </c>
      <c r="DX23" s="36">
        <f t="shared" si="6"/>
        <v>631.04497185843604</v>
      </c>
      <c r="DY23" s="36">
        <f t="shared" si="6"/>
        <v>666.12630006739403</v>
      </c>
      <c r="DZ23" s="36">
        <f t="shared" si="6"/>
        <v>651.08103677528641</v>
      </c>
      <c r="EA23" s="36">
        <f t="shared" si="6"/>
        <v>628.45849802371538</v>
      </c>
      <c r="EB23" s="36">
        <f t="shared" si="6"/>
        <v>639.04118322070644</v>
      </c>
      <c r="EC23" s="36">
        <f t="shared" si="6"/>
        <v>628.87743392652226</v>
      </c>
      <c r="ED23" s="36">
        <f t="shared" si="6"/>
        <v>623.54055481685214</v>
      </c>
      <c r="EE23" s="36">
        <f t="shared" si="6"/>
        <v>648.91349884337262</v>
      </c>
      <c r="EF23" s="36">
        <f t="shared" si="6"/>
        <v>660.68013333090471</v>
      </c>
      <c r="EG23" s="36">
        <f t="shared" si="6"/>
        <v>681.17156335950165</v>
      </c>
      <c r="EH23" s="36">
        <f t="shared" ref="EH23:FM23" si="7">(SUM(EH25:EH25)/SUM($F$25:$F$25))*100000</f>
        <v>689.6595690424582</v>
      </c>
      <c r="EI23" s="36">
        <f t="shared" si="7"/>
        <v>671.60889601282304</v>
      </c>
      <c r="EJ23" s="36">
        <f t="shared" si="7"/>
        <v>672.00961731116001</v>
      </c>
      <c r="EK23" s="36">
        <f t="shared" si="7"/>
        <v>687.25524125243624</v>
      </c>
      <c r="EL23" s="36">
        <f t="shared" si="7"/>
        <v>661.26300067394038</v>
      </c>
      <c r="EM23" s="36">
        <f t="shared" si="7"/>
        <v>665.87129560481594</v>
      </c>
      <c r="EN23" s="36">
        <f t="shared" si="7"/>
        <v>672.97499134806287</v>
      </c>
      <c r="EO23" s="36">
        <f t="shared" si="7"/>
        <v>650.11566273838355</v>
      </c>
      <c r="EP23" s="36">
        <f t="shared" si="7"/>
        <v>658.56723921240052</v>
      </c>
      <c r="EQ23" s="36">
        <f t="shared" si="7"/>
        <v>657.0372124369319</v>
      </c>
      <c r="ER23" s="36">
        <f t="shared" si="7"/>
        <v>661.82765341250615</v>
      </c>
      <c r="ES23" s="36">
        <f t="shared" si="7"/>
        <v>639.7879820039708</v>
      </c>
      <c r="ET23" s="36">
        <f t="shared" si="7"/>
        <v>622.21088869055211</v>
      </c>
      <c r="EU23" s="36">
        <f t="shared" si="7"/>
        <v>585.92739658658309</v>
      </c>
      <c r="EV23" s="36">
        <f t="shared" si="7"/>
        <v>569.78925702628362</v>
      </c>
      <c r="EW23" s="36">
        <f t="shared" si="7"/>
        <v>603.72306515364028</v>
      </c>
      <c r="EX23" s="36">
        <f t="shared" si="7"/>
        <v>610.48068341195972</v>
      </c>
      <c r="EY23" s="36">
        <f t="shared" si="7"/>
        <v>621.30015846705885</v>
      </c>
      <c r="EZ23" s="36">
        <f t="shared" si="7"/>
        <v>654.41430939327154</v>
      </c>
      <c r="FA23" s="36">
        <f t="shared" si="7"/>
        <v>698.03828709859567</v>
      </c>
      <c r="FB23" s="36">
        <f t="shared" si="7"/>
        <v>730.1506347789657</v>
      </c>
      <c r="FC23" s="36">
        <f t="shared" si="7"/>
        <v>724.99590171399427</v>
      </c>
      <c r="FD23" s="36">
        <f t="shared" si="7"/>
        <v>745.92448224986799</v>
      </c>
      <c r="FE23" s="36">
        <f t="shared" si="7"/>
        <v>759.65829402014538</v>
      </c>
      <c r="FF23" s="36">
        <f t="shared" si="7"/>
        <v>752.99174878417523</v>
      </c>
      <c r="FG23" s="36">
        <f t="shared" si="7"/>
        <v>755.4689349920767</v>
      </c>
      <c r="FH23" s="36">
        <f t="shared" si="7"/>
        <v>777.41753337826265</v>
      </c>
      <c r="FI23" s="36">
        <f t="shared" si="7"/>
        <v>774.703557312253</v>
      </c>
      <c r="FJ23" s="36">
        <f t="shared" si="7"/>
        <v>761.80761734758926</v>
      </c>
      <c r="FK23" s="36">
        <f t="shared" si="7"/>
        <v>728.62060800349718</v>
      </c>
      <c r="FL23" s="36">
        <f t="shared" si="7"/>
        <v>709.18562503415239</v>
      </c>
      <c r="FM23" s="36">
        <f t="shared" si="7"/>
        <v>691.51745869838442</v>
      </c>
      <c r="FN23" s="36">
        <f t="shared" ref="FN23:GN23" si="8">(SUM(FN25:FN25)/SUM($F$25:$F$25))*100000</f>
        <v>680.37012076282758</v>
      </c>
      <c r="FO23" s="36">
        <f t="shared" si="8"/>
        <v>667.98418972332013</v>
      </c>
      <c r="FP23" s="36">
        <f t="shared" si="8"/>
        <v>631.9557020819293</v>
      </c>
      <c r="FQ23" s="36">
        <f t="shared" si="8"/>
        <v>613.63180998524615</v>
      </c>
      <c r="FR23" s="36">
        <f t="shared" si="8"/>
        <v>589.5703174805559</v>
      </c>
      <c r="FS23" s="36">
        <f t="shared" si="8"/>
        <v>568.6599515491522</v>
      </c>
      <c r="FT23" s="36">
        <f t="shared" si="8"/>
        <v>554.36148704030893</v>
      </c>
      <c r="FU23" s="36">
        <f t="shared" si="8"/>
        <v>527.64066228301851</v>
      </c>
      <c r="FV23" s="36">
        <f t="shared" si="8"/>
        <v>527.8956667455966</v>
      </c>
      <c r="FW23" s="36">
        <f t="shared" si="8"/>
        <v>519.28015883135095</v>
      </c>
      <c r="FX23" s="36">
        <f t="shared" si="8"/>
        <v>528.76996776015005</v>
      </c>
      <c r="FY23" s="36">
        <f t="shared" si="8"/>
        <v>535.16329392907232</v>
      </c>
      <c r="FZ23" s="36">
        <f t="shared" si="8"/>
        <v>566.91134952004518</v>
      </c>
      <c r="GA23" s="36">
        <f t="shared" si="8"/>
        <v>416.85943789730607</v>
      </c>
      <c r="GB23" s="36">
        <f t="shared" si="8"/>
        <v>391.35899163949654</v>
      </c>
      <c r="GC23" s="36">
        <f t="shared" si="8"/>
        <v>385.71246425383873</v>
      </c>
      <c r="GD23" s="36">
        <f t="shared" si="8"/>
        <v>367.57071820185422</v>
      </c>
      <c r="GE23" s="36">
        <f t="shared" si="8"/>
        <v>328.53682082293579</v>
      </c>
      <c r="GF23" s="36">
        <f t="shared" si="8"/>
        <v>287.33538551210358</v>
      </c>
      <c r="GG23" s="36">
        <f t="shared" si="8"/>
        <v>284.69426786397332</v>
      </c>
      <c r="GH23" s="36">
        <f t="shared" si="8"/>
        <v>263.60175588787092</v>
      </c>
      <c r="GI23" s="36">
        <f t="shared" si="8"/>
        <v>241.41636764357662</v>
      </c>
      <c r="GJ23" s="36">
        <f t="shared" si="8"/>
        <v>213.22015992422723</v>
      </c>
      <c r="GK23" s="36">
        <f t="shared" si="8"/>
        <v>195.95271488679623</v>
      </c>
      <c r="GL23" s="36">
        <f t="shared" si="8"/>
        <v>171.38121345694978</v>
      </c>
      <c r="GM23" s="36">
        <f t="shared" si="8"/>
        <v>148.7404601009089</v>
      </c>
      <c r="GN23" s="557">
        <f t="shared" si="8"/>
        <v>546.63849474508663</v>
      </c>
    </row>
    <row r="24" spans="1:196" s="1" customFormat="1" ht="21.75" customHeight="1" x14ac:dyDescent="0.2">
      <c r="A24" s="35"/>
      <c r="B24" s="35"/>
      <c r="C24" s="26"/>
      <c r="D24" s="28"/>
      <c r="E24" s="28"/>
      <c r="F24" s="27"/>
      <c r="G24" s="27"/>
      <c r="H24" s="28"/>
      <c r="I24" s="28"/>
      <c r="J24" s="28"/>
      <c r="K24" s="27"/>
      <c r="L24" s="28"/>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7"/>
      <c r="BX24" s="27"/>
      <c r="BY24" s="27"/>
      <c r="BZ24" s="27"/>
      <c r="CA24" s="27"/>
      <c r="CB24" s="27"/>
      <c r="CC24" s="27"/>
      <c r="CD24" s="27"/>
      <c r="CE24" s="27"/>
      <c r="CF24" s="27"/>
      <c r="CG24" s="27"/>
      <c r="CH24" s="27"/>
      <c r="CI24" s="27"/>
      <c r="CJ24" s="27"/>
      <c r="CK24" s="27"/>
      <c r="CL24" s="27"/>
      <c r="CM24" s="27"/>
      <c r="CN24" s="27"/>
      <c r="CO24" s="27"/>
      <c r="CP24" s="27"/>
      <c r="CQ24" s="27"/>
      <c r="CR24" s="27"/>
      <c r="CS24" s="27"/>
      <c r="CT24" s="27"/>
      <c r="CU24" s="27"/>
      <c r="CV24" s="27"/>
      <c r="CW24" s="27"/>
      <c r="CX24" s="27"/>
      <c r="CY24" s="27"/>
      <c r="CZ24" s="27"/>
      <c r="DA24" s="28"/>
      <c r="DB24" s="27"/>
      <c r="DC24" s="27"/>
      <c r="DD24" s="27"/>
      <c r="DE24" s="27"/>
      <c r="DF24" s="27"/>
      <c r="DG24" s="27"/>
      <c r="DH24" s="27"/>
      <c r="DI24" s="27"/>
      <c r="DJ24" s="27"/>
      <c r="DK24" s="27"/>
      <c r="DL24" s="27"/>
      <c r="DM24" s="27"/>
      <c r="DN24" s="27"/>
      <c r="DO24" s="27"/>
      <c r="DP24" s="27"/>
      <c r="DQ24" s="27"/>
      <c r="DR24" s="27"/>
      <c r="DS24" s="27"/>
      <c r="DT24" s="27"/>
      <c r="DU24" s="27"/>
      <c r="DV24" s="27"/>
      <c r="DW24" s="27"/>
      <c r="DX24" s="27"/>
      <c r="DY24" s="27"/>
      <c r="DZ24" s="27"/>
      <c r="EA24" s="27"/>
      <c r="EB24" s="27"/>
      <c r="EC24" s="27"/>
      <c r="ED24" s="27"/>
      <c r="EE24" s="27"/>
      <c r="EF24" s="27"/>
      <c r="EG24" s="27"/>
      <c r="EH24" s="27"/>
      <c r="EI24" s="27"/>
      <c r="EJ24" s="27"/>
      <c r="EK24" s="27"/>
      <c r="EL24" s="27"/>
      <c r="EM24" s="27"/>
      <c r="EN24" s="27"/>
      <c r="EO24" s="27"/>
      <c r="EP24" s="27"/>
      <c r="EQ24" s="27"/>
      <c r="ER24" s="27"/>
      <c r="ES24" s="27"/>
      <c r="ET24" s="27"/>
      <c r="EU24" s="27"/>
      <c r="EV24" s="27"/>
      <c r="EW24" s="27"/>
      <c r="EX24" s="27"/>
      <c r="EY24" s="27"/>
      <c r="EZ24" s="27"/>
      <c r="FA24" s="27"/>
      <c r="FB24" s="27"/>
      <c r="FC24" s="27"/>
      <c r="FD24" s="27"/>
      <c r="FE24" s="27"/>
      <c r="FF24" s="27"/>
      <c r="FG24" s="27"/>
      <c r="FH24" s="27"/>
      <c r="FI24" s="27"/>
      <c r="FJ24" s="27"/>
      <c r="FK24" s="27"/>
      <c r="FL24" s="27"/>
      <c r="FM24" s="27"/>
      <c r="FN24" s="27"/>
      <c r="FO24" s="27"/>
      <c r="FP24" s="27"/>
      <c r="FQ24" s="27"/>
      <c r="FR24" s="27"/>
      <c r="FS24" s="27"/>
      <c r="FT24" s="27"/>
      <c r="FU24" s="27"/>
      <c r="FV24" s="27"/>
      <c r="FW24" s="27"/>
      <c r="FX24" s="27"/>
      <c r="FY24" s="27"/>
      <c r="FZ24" s="27"/>
      <c r="GA24" s="27"/>
      <c r="GB24" s="27"/>
      <c r="GC24" s="27"/>
      <c r="GD24" s="27"/>
      <c r="GE24" s="27"/>
      <c r="GF24" s="27"/>
      <c r="GG24" s="27"/>
      <c r="GH24" s="27"/>
      <c r="GI24" s="27"/>
      <c r="GJ24" s="27"/>
      <c r="GK24" s="27"/>
      <c r="GL24" s="27"/>
      <c r="GM24" s="27"/>
      <c r="GN24" s="28"/>
    </row>
    <row r="25" spans="1:196" s="8" customFormat="1" ht="15" x14ac:dyDescent="0.25">
      <c r="A25" s="558" t="s">
        <v>50</v>
      </c>
      <c r="B25" s="559" t="s">
        <v>993</v>
      </c>
      <c r="C25" s="560" t="s">
        <v>1026</v>
      </c>
      <c r="D25" s="561">
        <f t="shared" ref="D25:E25" si="9">I25</f>
        <v>2541946</v>
      </c>
      <c r="E25" s="561">
        <f t="shared" si="9"/>
        <v>2700886</v>
      </c>
      <c r="F25" s="562">
        <f>G25+H25</f>
        <v>5490100</v>
      </c>
      <c r="G25" s="562">
        <v>2668951</v>
      </c>
      <c r="H25" s="563">
        <v>2821149</v>
      </c>
      <c r="I25" s="563">
        <f>SUM(T25:DA25)</f>
        <v>2541946</v>
      </c>
      <c r="J25" s="563">
        <f>SUM(DG25:GN25)</f>
        <v>2700886</v>
      </c>
      <c r="K25" s="564">
        <f>SUM(T25:AE25)</f>
        <v>362496</v>
      </c>
      <c r="L25" s="561">
        <f>SUM(DG25:DR25)</f>
        <v>344579</v>
      </c>
      <c r="M25" s="564">
        <f>SUM(AA25:DA25)</f>
        <v>2335786</v>
      </c>
      <c r="N25" s="564">
        <f>SUM(DN25:GN25)</f>
        <v>2505771</v>
      </c>
      <c r="O25" s="562">
        <v>23697</v>
      </c>
      <c r="P25" s="562">
        <v>24983</v>
      </c>
      <c r="Q25" s="562">
        <v>25102</v>
      </c>
      <c r="R25" s="562">
        <v>25785</v>
      </c>
      <c r="S25" s="562">
        <v>27438</v>
      </c>
      <c r="T25" s="562">
        <v>27186</v>
      </c>
      <c r="U25" s="562">
        <v>28046</v>
      </c>
      <c r="V25" s="562">
        <v>29473</v>
      </c>
      <c r="W25" s="562">
        <v>29658</v>
      </c>
      <c r="X25" s="562">
        <v>29975</v>
      </c>
      <c r="Y25" s="562">
        <v>30381</v>
      </c>
      <c r="Z25" s="562">
        <v>31441</v>
      </c>
      <c r="AA25" s="562">
        <v>31600</v>
      </c>
      <c r="AB25" s="562">
        <v>31277</v>
      </c>
      <c r="AC25" s="562">
        <v>31392</v>
      </c>
      <c r="AD25" s="562">
        <v>31378</v>
      </c>
      <c r="AE25" s="562">
        <v>30689</v>
      </c>
      <c r="AF25" s="562">
        <v>30374</v>
      </c>
      <c r="AG25" s="562">
        <v>29447</v>
      </c>
      <c r="AH25" s="562">
        <v>31989</v>
      </c>
      <c r="AI25" s="562">
        <v>33954</v>
      </c>
      <c r="AJ25" s="562">
        <v>33459</v>
      </c>
      <c r="AK25" s="562">
        <v>34364</v>
      </c>
      <c r="AL25" s="562">
        <v>35807</v>
      </c>
      <c r="AM25" s="562">
        <v>34700</v>
      </c>
      <c r="AN25" s="562">
        <v>33839</v>
      </c>
      <c r="AO25" s="562">
        <v>34291</v>
      </c>
      <c r="AP25" s="562">
        <v>33506</v>
      </c>
      <c r="AQ25" s="562">
        <v>33558</v>
      </c>
      <c r="AR25" s="562">
        <v>34083</v>
      </c>
      <c r="AS25" s="562">
        <v>34038</v>
      </c>
      <c r="AT25" s="562">
        <v>35185</v>
      </c>
      <c r="AU25" s="562">
        <v>36258</v>
      </c>
      <c r="AV25" s="562">
        <v>35063</v>
      </c>
      <c r="AW25" s="562">
        <v>35148</v>
      </c>
      <c r="AX25" s="562">
        <v>35887</v>
      </c>
      <c r="AY25" s="562">
        <v>34541</v>
      </c>
      <c r="AZ25" s="562">
        <v>34850</v>
      </c>
      <c r="BA25" s="562">
        <v>34684</v>
      </c>
      <c r="BB25" s="562">
        <v>33926</v>
      </c>
      <c r="BC25" s="562">
        <v>33801</v>
      </c>
      <c r="BD25" s="562">
        <v>33894</v>
      </c>
      <c r="BE25" s="562">
        <v>34401</v>
      </c>
      <c r="BF25" s="562">
        <v>33738</v>
      </c>
      <c r="BG25" s="562">
        <v>33438</v>
      </c>
      <c r="BH25" s="562">
        <v>29822</v>
      </c>
      <c r="BI25" s="562">
        <v>29780</v>
      </c>
      <c r="BJ25" s="562">
        <v>31396</v>
      </c>
      <c r="BK25" s="562">
        <v>31670</v>
      </c>
      <c r="BL25" s="562">
        <v>32572</v>
      </c>
      <c r="BM25" s="562">
        <v>33919</v>
      </c>
      <c r="BN25" s="562">
        <v>35274</v>
      </c>
      <c r="BO25" s="562">
        <v>37067</v>
      </c>
      <c r="BP25" s="562">
        <v>37145</v>
      </c>
      <c r="BQ25" s="562">
        <v>38468</v>
      </c>
      <c r="BR25" s="562">
        <v>38990</v>
      </c>
      <c r="BS25" s="562">
        <v>39457</v>
      </c>
      <c r="BT25" s="562">
        <v>38802</v>
      </c>
      <c r="BU25" s="562">
        <v>40192</v>
      </c>
      <c r="BV25" s="562">
        <v>39580</v>
      </c>
      <c r="BW25" s="562">
        <v>39088</v>
      </c>
      <c r="BX25" s="562">
        <v>37976</v>
      </c>
      <c r="BY25" s="562">
        <v>36600</v>
      </c>
      <c r="BZ25" s="562">
        <v>35954</v>
      </c>
      <c r="CA25" s="562">
        <v>35134</v>
      </c>
      <c r="CB25" s="562">
        <v>34160</v>
      </c>
      <c r="CC25" s="562">
        <v>32503</v>
      </c>
      <c r="CD25" s="562">
        <v>31339</v>
      </c>
      <c r="CE25" s="562">
        <v>29803</v>
      </c>
      <c r="CF25" s="562">
        <v>28870</v>
      </c>
      <c r="CG25" s="562">
        <v>28104</v>
      </c>
      <c r="CH25" s="562">
        <v>26489</v>
      </c>
      <c r="CI25" s="562">
        <v>26217</v>
      </c>
      <c r="CJ25" s="562">
        <v>25626</v>
      </c>
      <c r="CK25" s="562">
        <v>25968</v>
      </c>
      <c r="CL25" s="562">
        <v>25943</v>
      </c>
      <c r="CM25" s="562">
        <v>26961</v>
      </c>
      <c r="CN25" s="562">
        <v>19809</v>
      </c>
      <c r="CO25" s="562">
        <v>17656</v>
      </c>
      <c r="CP25" s="562">
        <v>17402</v>
      </c>
      <c r="CQ25" s="562">
        <v>15702</v>
      </c>
      <c r="CR25" s="562">
        <v>13715</v>
      </c>
      <c r="CS25" s="562">
        <v>11435</v>
      </c>
      <c r="CT25" s="562">
        <v>11049</v>
      </c>
      <c r="CU25" s="562">
        <v>10064</v>
      </c>
      <c r="CV25" s="562">
        <v>9118</v>
      </c>
      <c r="CW25" s="562">
        <v>7745</v>
      </c>
      <c r="CX25" s="562">
        <v>6713</v>
      </c>
      <c r="CY25" s="562">
        <v>5755</v>
      </c>
      <c r="CZ25" s="562">
        <v>4659</v>
      </c>
      <c r="DA25" s="563">
        <v>15536</v>
      </c>
      <c r="DB25" s="562">
        <v>22500</v>
      </c>
      <c r="DC25" s="562">
        <v>23492</v>
      </c>
      <c r="DD25" s="562">
        <v>23858</v>
      </c>
      <c r="DE25" s="562">
        <v>24564</v>
      </c>
      <c r="DF25" s="562">
        <v>25849</v>
      </c>
      <c r="DG25" s="562">
        <v>25726</v>
      </c>
      <c r="DH25" s="562">
        <v>26472</v>
      </c>
      <c r="DI25" s="562">
        <v>27694</v>
      </c>
      <c r="DJ25" s="562">
        <v>28102</v>
      </c>
      <c r="DK25" s="562">
        <v>28366</v>
      </c>
      <c r="DL25" s="562">
        <v>29148</v>
      </c>
      <c r="DM25" s="562">
        <v>29607</v>
      </c>
      <c r="DN25" s="562">
        <v>29964</v>
      </c>
      <c r="DO25" s="562">
        <v>30345</v>
      </c>
      <c r="DP25" s="562">
        <v>29910</v>
      </c>
      <c r="DQ25" s="562">
        <v>30286</v>
      </c>
      <c r="DR25" s="562">
        <v>28959</v>
      </c>
      <c r="DS25" s="562">
        <v>28813</v>
      </c>
      <c r="DT25" s="562">
        <v>27895</v>
      </c>
      <c r="DU25" s="562">
        <v>31172</v>
      </c>
      <c r="DV25" s="562">
        <v>33966</v>
      </c>
      <c r="DW25" s="562">
        <v>34004</v>
      </c>
      <c r="DX25" s="562">
        <v>34645</v>
      </c>
      <c r="DY25" s="562">
        <v>36571</v>
      </c>
      <c r="DZ25" s="562">
        <v>35745</v>
      </c>
      <c r="EA25" s="562">
        <v>34503</v>
      </c>
      <c r="EB25" s="562">
        <v>35084</v>
      </c>
      <c r="EC25" s="562">
        <v>34526</v>
      </c>
      <c r="ED25" s="562">
        <v>34233</v>
      </c>
      <c r="EE25" s="562">
        <v>35626</v>
      </c>
      <c r="EF25" s="562">
        <v>36272</v>
      </c>
      <c r="EG25" s="562">
        <v>37397</v>
      </c>
      <c r="EH25" s="562">
        <v>37863</v>
      </c>
      <c r="EI25" s="562">
        <v>36872</v>
      </c>
      <c r="EJ25" s="562">
        <v>36894</v>
      </c>
      <c r="EK25" s="562">
        <v>37731</v>
      </c>
      <c r="EL25" s="562">
        <v>36304</v>
      </c>
      <c r="EM25" s="562">
        <v>36557</v>
      </c>
      <c r="EN25" s="562">
        <v>36947</v>
      </c>
      <c r="EO25" s="562">
        <v>35692</v>
      </c>
      <c r="EP25" s="562">
        <v>36156</v>
      </c>
      <c r="EQ25" s="562">
        <v>36072</v>
      </c>
      <c r="ER25" s="562">
        <v>36335</v>
      </c>
      <c r="ES25" s="562">
        <v>35125</v>
      </c>
      <c r="ET25" s="562">
        <v>34160</v>
      </c>
      <c r="EU25" s="562">
        <v>32168</v>
      </c>
      <c r="EV25" s="562">
        <v>31282</v>
      </c>
      <c r="EW25" s="562">
        <v>33145</v>
      </c>
      <c r="EX25" s="562">
        <v>33516</v>
      </c>
      <c r="EY25" s="562">
        <v>34110</v>
      </c>
      <c r="EZ25" s="562">
        <v>35928</v>
      </c>
      <c r="FA25" s="562">
        <v>38323</v>
      </c>
      <c r="FB25" s="562">
        <v>40086</v>
      </c>
      <c r="FC25" s="562">
        <v>39803</v>
      </c>
      <c r="FD25" s="562">
        <v>40952</v>
      </c>
      <c r="FE25" s="562">
        <v>41706</v>
      </c>
      <c r="FF25" s="562">
        <v>41340</v>
      </c>
      <c r="FG25" s="562">
        <v>41476</v>
      </c>
      <c r="FH25" s="562">
        <v>42681</v>
      </c>
      <c r="FI25" s="562">
        <v>42532</v>
      </c>
      <c r="FJ25" s="562">
        <v>41824</v>
      </c>
      <c r="FK25" s="562">
        <v>40002</v>
      </c>
      <c r="FL25" s="562">
        <v>38935</v>
      </c>
      <c r="FM25" s="562">
        <v>37965</v>
      </c>
      <c r="FN25" s="562">
        <v>37353</v>
      </c>
      <c r="FO25" s="562">
        <v>36673</v>
      </c>
      <c r="FP25" s="562">
        <v>34695</v>
      </c>
      <c r="FQ25" s="562">
        <v>33689</v>
      </c>
      <c r="FR25" s="562">
        <v>32368</v>
      </c>
      <c r="FS25" s="562">
        <v>31220</v>
      </c>
      <c r="FT25" s="562">
        <v>30435</v>
      </c>
      <c r="FU25" s="562">
        <v>28968</v>
      </c>
      <c r="FV25" s="562">
        <v>28982</v>
      </c>
      <c r="FW25" s="562">
        <v>28509</v>
      </c>
      <c r="FX25" s="562">
        <v>29030</v>
      </c>
      <c r="FY25" s="562">
        <v>29381</v>
      </c>
      <c r="FZ25" s="562">
        <v>31124</v>
      </c>
      <c r="GA25" s="562">
        <v>22886</v>
      </c>
      <c r="GB25" s="562">
        <v>21486</v>
      </c>
      <c r="GC25" s="562">
        <v>21176</v>
      </c>
      <c r="GD25" s="562">
        <v>20180</v>
      </c>
      <c r="GE25" s="562">
        <v>18037</v>
      </c>
      <c r="GF25" s="562">
        <v>15775</v>
      </c>
      <c r="GG25" s="562">
        <v>15630</v>
      </c>
      <c r="GH25" s="562">
        <v>14472</v>
      </c>
      <c r="GI25" s="562">
        <v>13254</v>
      </c>
      <c r="GJ25" s="562">
        <v>11706</v>
      </c>
      <c r="GK25" s="562">
        <v>10758</v>
      </c>
      <c r="GL25" s="562">
        <v>9409</v>
      </c>
      <c r="GM25" s="562">
        <v>8166</v>
      </c>
      <c r="GN25" s="562">
        <v>30011</v>
      </c>
    </row>
    <row r="26" spans="1:196" s="1" customFormat="1" x14ac:dyDescent="0.2">
      <c r="A26" s="25"/>
      <c r="B26" s="283"/>
      <c r="C26" s="26"/>
      <c r="D26" s="42"/>
      <c r="E26" s="42"/>
      <c r="H26" s="42"/>
      <c r="I26" s="42"/>
      <c r="J26" s="42"/>
      <c r="L26" s="42"/>
      <c r="N26" s="42"/>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c r="BX26" s="27"/>
      <c r="BY26" s="27"/>
      <c r="BZ26" s="27"/>
      <c r="CA26" s="27"/>
      <c r="CB26" s="27"/>
      <c r="CC26" s="27"/>
      <c r="CD26" s="27"/>
      <c r="CE26" s="27"/>
      <c r="CF26" s="27"/>
      <c r="CG26" s="27"/>
      <c r="CH26" s="27"/>
      <c r="CI26" s="27"/>
      <c r="CJ26" s="27"/>
      <c r="CK26" s="27"/>
      <c r="CL26" s="27"/>
      <c r="CM26" s="27"/>
      <c r="CN26" s="27"/>
      <c r="CO26" s="27"/>
      <c r="CP26" s="27"/>
      <c r="CQ26" s="27"/>
      <c r="CR26" s="27"/>
      <c r="CS26" s="27"/>
      <c r="CT26" s="27"/>
      <c r="CU26" s="27"/>
      <c r="CV26" s="27"/>
      <c r="CW26" s="27"/>
      <c r="CX26" s="27"/>
      <c r="CY26" s="27"/>
      <c r="CZ26" s="27"/>
      <c r="DA26" s="28"/>
      <c r="DB26" s="29"/>
      <c r="DC26" s="29"/>
      <c r="DD26" s="29"/>
      <c r="DE26" s="29"/>
      <c r="DF26" s="29"/>
      <c r="DG26" s="29"/>
      <c r="DH26" s="29"/>
      <c r="DI26" s="29"/>
      <c r="DJ26" s="29"/>
      <c r="DK26" s="29"/>
      <c r="DL26" s="29"/>
      <c r="DM26" s="29"/>
      <c r="DN26" s="29"/>
      <c r="DO26" s="29"/>
      <c r="DP26" s="29"/>
      <c r="DQ26" s="29"/>
      <c r="DR26" s="29"/>
      <c r="DS26" s="29"/>
      <c r="DT26" s="29"/>
      <c r="DU26" s="29"/>
      <c r="DV26" s="29"/>
      <c r="DW26" s="29"/>
      <c r="DX26" s="29"/>
      <c r="DY26" s="29"/>
      <c r="DZ26" s="29"/>
      <c r="EA26" s="29"/>
      <c r="EB26" s="29"/>
      <c r="EC26" s="29"/>
      <c r="ED26" s="29"/>
      <c r="EE26" s="29"/>
      <c r="EF26" s="29"/>
      <c r="EG26" s="29"/>
      <c r="EH26" s="29"/>
      <c r="EI26" s="29"/>
      <c r="EJ26" s="29"/>
      <c r="EK26" s="29"/>
      <c r="EL26" s="29"/>
      <c r="EM26" s="29"/>
      <c r="EN26" s="29"/>
      <c r="EO26" s="29"/>
      <c r="EP26" s="29"/>
      <c r="EQ26" s="29"/>
      <c r="ER26" s="29"/>
      <c r="ES26" s="29"/>
      <c r="ET26" s="29"/>
      <c r="EU26" s="29"/>
      <c r="EV26" s="29"/>
      <c r="EW26" s="29"/>
      <c r="EX26" s="29"/>
      <c r="EY26" s="29"/>
      <c r="EZ26" s="29"/>
      <c r="FA26" s="29"/>
      <c r="FB26" s="29"/>
      <c r="FC26" s="29"/>
      <c r="FD26" s="29"/>
      <c r="FE26" s="29"/>
      <c r="FF26" s="29"/>
      <c r="FG26" s="29"/>
      <c r="FH26" s="29"/>
      <c r="FI26" s="29"/>
      <c r="FJ26" s="29"/>
      <c r="FK26" s="29"/>
      <c r="FL26" s="29"/>
      <c r="FM26" s="29"/>
      <c r="FN26" s="29"/>
      <c r="FO26" s="29"/>
      <c r="FP26" s="29"/>
      <c r="FQ26" s="29"/>
      <c r="FR26" s="29"/>
      <c r="FS26" s="29"/>
      <c r="FT26" s="29"/>
      <c r="FU26" s="29"/>
      <c r="FV26" s="29"/>
      <c r="FW26" s="29"/>
      <c r="FX26" s="29"/>
      <c r="FY26" s="29"/>
      <c r="FZ26" s="29"/>
      <c r="GA26" s="29"/>
      <c r="GB26" s="29"/>
      <c r="GC26" s="29"/>
      <c r="GD26" s="29"/>
      <c r="GE26" s="29"/>
      <c r="GF26" s="29"/>
      <c r="GG26" s="29"/>
      <c r="GH26" s="29"/>
      <c r="GI26" s="29"/>
      <c r="GJ26" s="29"/>
      <c r="GK26" s="29"/>
      <c r="GL26" s="29"/>
      <c r="GM26" s="29"/>
      <c r="GN26" s="30"/>
    </row>
    <row r="27" spans="1:196" s="1" customFormat="1" x14ac:dyDescent="0.2">
      <c r="A27" s="565" t="s">
        <v>1039</v>
      </c>
      <c r="B27" s="284" t="s">
        <v>994</v>
      </c>
      <c r="C27" s="550" t="str">
        <f t="shared" ref="C27:C58" si="10">CONCATENATE(A27," - ",B27)</f>
        <v>Council area - Aberdeen City</v>
      </c>
      <c r="D27" s="571">
        <f>I27</f>
        <v>105913</v>
      </c>
      <c r="E27" s="566">
        <f>J27</f>
        <v>111000</v>
      </c>
      <c r="F27" s="567">
        <f>G27+H27</f>
        <v>227750</v>
      </c>
      <c r="G27" s="567">
        <f>SUM(O27:DA27)</f>
        <v>111466</v>
      </c>
      <c r="H27" s="568">
        <f>SUM(DB27:GN27)</f>
        <v>116284</v>
      </c>
      <c r="I27" s="570">
        <f>SUM(T27:DA27)</f>
        <v>105913</v>
      </c>
      <c r="J27" s="568">
        <f>SUM(DG27:GN27)</f>
        <v>111000</v>
      </c>
      <c r="K27" s="577">
        <f t="shared" ref="K27:K58" si="11">SUM(T27:AE27)</f>
        <v>14429</v>
      </c>
      <c r="L27" s="566">
        <f t="shared" ref="L27:L58" si="12">SUM(DG27:DR27)</f>
        <v>13832</v>
      </c>
      <c r="M27" s="577">
        <f>SUM(AA27:DA27)</f>
        <v>97258</v>
      </c>
      <c r="N27" s="566">
        <f>SUM(DN27:GN27)</f>
        <v>102744</v>
      </c>
      <c r="O27" s="928">
        <v>1010</v>
      </c>
      <c r="P27" s="928">
        <v>1094</v>
      </c>
      <c r="Q27" s="924">
        <v>1107</v>
      </c>
      <c r="R27" s="924">
        <v>1135</v>
      </c>
      <c r="S27" s="924">
        <v>1207</v>
      </c>
      <c r="T27" s="924">
        <v>1208</v>
      </c>
      <c r="U27" s="924">
        <v>1242</v>
      </c>
      <c r="V27" s="924">
        <v>1281</v>
      </c>
      <c r="W27" s="924">
        <v>1258</v>
      </c>
      <c r="X27" s="924">
        <v>1257</v>
      </c>
      <c r="Y27" s="924">
        <v>1194</v>
      </c>
      <c r="Z27" s="924">
        <v>1215</v>
      </c>
      <c r="AA27" s="924">
        <v>1273</v>
      </c>
      <c r="AB27" s="924">
        <v>1193</v>
      </c>
      <c r="AC27" s="924">
        <v>1104</v>
      </c>
      <c r="AD27" s="924">
        <v>1111</v>
      </c>
      <c r="AE27" s="924">
        <v>1093</v>
      </c>
      <c r="AF27" s="924">
        <v>1077</v>
      </c>
      <c r="AG27" s="924">
        <v>1048</v>
      </c>
      <c r="AH27" s="924">
        <v>1356</v>
      </c>
      <c r="AI27" s="924">
        <v>1830</v>
      </c>
      <c r="AJ27" s="924">
        <v>1620</v>
      </c>
      <c r="AK27" s="924">
        <v>1829</v>
      </c>
      <c r="AL27" s="924">
        <v>1870</v>
      </c>
      <c r="AM27" s="924">
        <v>1820</v>
      </c>
      <c r="AN27" s="924">
        <v>1694</v>
      </c>
      <c r="AO27" s="924">
        <v>1800</v>
      </c>
      <c r="AP27" s="924">
        <v>1705</v>
      </c>
      <c r="AQ27" s="924">
        <v>1624</v>
      </c>
      <c r="AR27" s="924">
        <v>1778</v>
      </c>
      <c r="AS27" s="924">
        <v>1733</v>
      </c>
      <c r="AT27" s="924">
        <v>1606</v>
      </c>
      <c r="AU27" s="924">
        <v>1764</v>
      </c>
      <c r="AV27" s="924">
        <v>1748</v>
      </c>
      <c r="AW27" s="924">
        <v>1789</v>
      </c>
      <c r="AX27" s="924">
        <v>1786</v>
      </c>
      <c r="AY27" s="924">
        <v>1786</v>
      </c>
      <c r="AZ27" s="924">
        <v>1693</v>
      </c>
      <c r="BA27" s="924">
        <v>1688</v>
      </c>
      <c r="BB27" s="924">
        <v>1713</v>
      </c>
      <c r="BC27" s="924">
        <v>1673</v>
      </c>
      <c r="BD27" s="924">
        <v>1618</v>
      </c>
      <c r="BE27" s="924">
        <v>1576</v>
      </c>
      <c r="BF27" s="924">
        <v>1590</v>
      </c>
      <c r="BG27" s="924">
        <v>1545</v>
      </c>
      <c r="BH27" s="924">
        <v>1341</v>
      </c>
      <c r="BI27" s="924">
        <v>1416</v>
      </c>
      <c r="BJ27" s="924">
        <v>1394</v>
      </c>
      <c r="BK27" s="924">
        <v>1388</v>
      </c>
      <c r="BL27" s="924">
        <v>1327</v>
      </c>
      <c r="BM27" s="924">
        <v>1419</v>
      </c>
      <c r="BN27" s="924">
        <v>1381</v>
      </c>
      <c r="BO27" s="924">
        <v>1405</v>
      </c>
      <c r="BP27" s="924">
        <v>1354</v>
      </c>
      <c r="BQ27" s="924">
        <v>1369</v>
      </c>
      <c r="BR27" s="924">
        <v>1377</v>
      </c>
      <c r="BS27" s="924">
        <v>1455</v>
      </c>
      <c r="BT27" s="924">
        <v>1329</v>
      </c>
      <c r="BU27" s="924">
        <v>1367</v>
      </c>
      <c r="BV27" s="924">
        <v>1392</v>
      </c>
      <c r="BW27" s="924">
        <v>1442</v>
      </c>
      <c r="BX27" s="924">
        <v>1303</v>
      </c>
      <c r="BY27" s="924">
        <v>1236</v>
      </c>
      <c r="BZ27" s="924">
        <v>1264</v>
      </c>
      <c r="CA27" s="924">
        <v>1288</v>
      </c>
      <c r="CB27" s="924">
        <v>1289</v>
      </c>
      <c r="CC27" s="924">
        <v>1142</v>
      </c>
      <c r="CD27" s="924">
        <v>1136</v>
      </c>
      <c r="CE27" s="924">
        <v>1092</v>
      </c>
      <c r="CF27" s="924">
        <v>1054</v>
      </c>
      <c r="CG27" s="924">
        <v>958</v>
      </c>
      <c r="CH27" s="924">
        <v>949</v>
      </c>
      <c r="CI27" s="924">
        <v>929</v>
      </c>
      <c r="CJ27" s="924">
        <v>888</v>
      </c>
      <c r="CK27" s="924">
        <v>926</v>
      </c>
      <c r="CL27" s="924">
        <v>891</v>
      </c>
      <c r="CM27" s="924">
        <v>941</v>
      </c>
      <c r="CN27" s="924">
        <v>652</v>
      </c>
      <c r="CO27" s="924">
        <v>539</v>
      </c>
      <c r="CP27" s="924">
        <v>521</v>
      </c>
      <c r="CQ27" s="924">
        <v>545</v>
      </c>
      <c r="CR27" s="924">
        <v>489</v>
      </c>
      <c r="CS27" s="924">
        <v>371</v>
      </c>
      <c r="CT27" s="924">
        <v>407</v>
      </c>
      <c r="CU27" s="924">
        <v>297</v>
      </c>
      <c r="CV27" s="924">
        <v>346</v>
      </c>
      <c r="CW27" s="924">
        <v>286</v>
      </c>
      <c r="CX27" s="924">
        <v>222</v>
      </c>
      <c r="CY27" s="924">
        <v>201</v>
      </c>
      <c r="CZ27" s="924">
        <v>191</v>
      </c>
      <c r="DA27" s="925">
        <v>616</v>
      </c>
      <c r="DB27" s="39">
        <v>965</v>
      </c>
      <c r="DC27" s="39">
        <v>1012</v>
      </c>
      <c r="DD27" s="39">
        <v>1002</v>
      </c>
      <c r="DE27" s="39">
        <v>1115</v>
      </c>
      <c r="DF27" s="39">
        <v>1190</v>
      </c>
      <c r="DG27" s="39">
        <v>1122</v>
      </c>
      <c r="DH27" s="39">
        <v>1194</v>
      </c>
      <c r="DI27" s="39">
        <v>1225</v>
      </c>
      <c r="DJ27" s="39">
        <v>1138</v>
      </c>
      <c r="DK27" s="39">
        <v>1191</v>
      </c>
      <c r="DL27" s="39">
        <v>1164</v>
      </c>
      <c r="DM27" s="39">
        <v>1222</v>
      </c>
      <c r="DN27" s="39">
        <v>1154</v>
      </c>
      <c r="DO27" s="39">
        <v>1146</v>
      </c>
      <c r="DP27" s="39">
        <v>1045</v>
      </c>
      <c r="DQ27" s="39">
        <v>1124</v>
      </c>
      <c r="DR27" s="39">
        <v>1107</v>
      </c>
      <c r="DS27" s="39">
        <v>963</v>
      </c>
      <c r="DT27" s="39">
        <v>1174</v>
      </c>
      <c r="DU27" s="39">
        <v>1741</v>
      </c>
      <c r="DV27" s="39">
        <v>2339</v>
      </c>
      <c r="DW27" s="39">
        <v>1944</v>
      </c>
      <c r="DX27" s="39">
        <v>2150</v>
      </c>
      <c r="DY27" s="39">
        <v>2052</v>
      </c>
      <c r="DZ27" s="39">
        <v>1906</v>
      </c>
      <c r="EA27" s="39">
        <v>1748</v>
      </c>
      <c r="EB27" s="39">
        <v>1968</v>
      </c>
      <c r="EC27" s="39">
        <v>1749</v>
      </c>
      <c r="ED27" s="39">
        <v>1678</v>
      </c>
      <c r="EE27" s="39">
        <v>1787</v>
      </c>
      <c r="EF27" s="39">
        <v>1726</v>
      </c>
      <c r="EG27" s="39">
        <v>1730</v>
      </c>
      <c r="EH27" s="39">
        <v>1899</v>
      </c>
      <c r="EI27" s="39">
        <v>1815</v>
      </c>
      <c r="EJ27" s="39">
        <v>1697</v>
      </c>
      <c r="EK27" s="39">
        <v>1860</v>
      </c>
      <c r="EL27" s="39">
        <v>1719</v>
      </c>
      <c r="EM27" s="39">
        <v>1751</v>
      </c>
      <c r="EN27" s="39">
        <v>1773</v>
      </c>
      <c r="EO27" s="39">
        <v>1600</v>
      </c>
      <c r="EP27" s="39">
        <v>1730</v>
      </c>
      <c r="EQ27" s="39">
        <v>1610</v>
      </c>
      <c r="ER27" s="39">
        <v>1578</v>
      </c>
      <c r="ES27" s="39">
        <v>1579</v>
      </c>
      <c r="ET27" s="39">
        <v>1408</v>
      </c>
      <c r="EU27" s="39">
        <v>1331</v>
      </c>
      <c r="EV27" s="39">
        <v>1307</v>
      </c>
      <c r="EW27" s="39">
        <v>1322</v>
      </c>
      <c r="EX27" s="39">
        <v>1290</v>
      </c>
      <c r="EY27" s="39">
        <v>1303</v>
      </c>
      <c r="EZ27" s="39">
        <v>1369</v>
      </c>
      <c r="FA27" s="39">
        <v>1393</v>
      </c>
      <c r="FB27" s="39">
        <v>1431</v>
      </c>
      <c r="FC27" s="39">
        <v>1367</v>
      </c>
      <c r="FD27" s="39">
        <v>1446</v>
      </c>
      <c r="FE27" s="39">
        <v>1343</v>
      </c>
      <c r="FF27" s="39">
        <v>1324</v>
      </c>
      <c r="FG27" s="39">
        <v>1372</v>
      </c>
      <c r="FH27" s="39">
        <v>1450</v>
      </c>
      <c r="FI27" s="39">
        <v>1472</v>
      </c>
      <c r="FJ27" s="39">
        <v>1367</v>
      </c>
      <c r="FK27" s="39">
        <v>1387</v>
      </c>
      <c r="FL27" s="39">
        <v>1306</v>
      </c>
      <c r="FM27" s="39">
        <v>1335</v>
      </c>
      <c r="FN27" s="39">
        <v>1296</v>
      </c>
      <c r="FO27" s="39">
        <v>1303</v>
      </c>
      <c r="FP27" s="39">
        <v>1181</v>
      </c>
      <c r="FQ27" s="39">
        <v>1146</v>
      </c>
      <c r="FR27" s="39">
        <v>1167</v>
      </c>
      <c r="FS27" s="39">
        <v>1062</v>
      </c>
      <c r="FT27" s="39">
        <v>997</v>
      </c>
      <c r="FU27" s="39">
        <v>994</v>
      </c>
      <c r="FV27" s="39">
        <v>963</v>
      </c>
      <c r="FW27" s="39">
        <v>968</v>
      </c>
      <c r="FX27" s="39">
        <v>1018</v>
      </c>
      <c r="FY27" s="39">
        <v>956</v>
      </c>
      <c r="FZ27" s="39">
        <v>1149</v>
      </c>
      <c r="GA27" s="39">
        <v>784</v>
      </c>
      <c r="GB27" s="39">
        <v>670</v>
      </c>
      <c r="GC27" s="39">
        <v>654</v>
      </c>
      <c r="GD27" s="39">
        <v>663</v>
      </c>
      <c r="GE27" s="39">
        <v>661</v>
      </c>
      <c r="GF27" s="39">
        <v>595</v>
      </c>
      <c r="GG27" s="39">
        <v>573</v>
      </c>
      <c r="GH27" s="39">
        <v>545</v>
      </c>
      <c r="GI27" s="39">
        <v>505</v>
      </c>
      <c r="GJ27" s="39">
        <v>453</v>
      </c>
      <c r="GK27" s="39">
        <v>446</v>
      </c>
      <c r="GL27" s="39">
        <v>358</v>
      </c>
      <c r="GM27" s="39">
        <v>307</v>
      </c>
      <c r="GN27" s="40">
        <v>1165</v>
      </c>
    </row>
    <row r="28" spans="1:196" s="1" customFormat="1" x14ac:dyDescent="0.2">
      <c r="A28" s="41" t="s">
        <v>1039</v>
      </c>
      <c r="B28" s="284" t="s">
        <v>995</v>
      </c>
      <c r="C28" s="24" t="str">
        <f t="shared" si="10"/>
        <v>Council area - Aberdeenshire</v>
      </c>
      <c r="D28" s="38">
        <f>I28</f>
        <v>123465</v>
      </c>
      <c r="E28" s="32">
        <f>J28</f>
        <v>128373</v>
      </c>
      <c r="F28" s="33">
        <f>G28+H28</f>
        <v>264320</v>
      </c>
      <c r="G28" s="33">
        <f>SUM(O28:DA28)</f>
        <v>129848</v>
      </c>
      <c r="H28" s="34">
        <f>SUM(DB28:GN28)</f>
        <v>134472</v>
      </c>
      <c r="I28" s="390">
        <f t="shared" ref="I28:I58" si="13">SUM(T28:DA28)</f>
        <v>123465</v>
      </c>
      <c r="J28" s="34">
        <f t="shared" ref="J28:J58" si="14">SUM(DG28:GN28)</f>
        <v>128373</v>
      </c>
      <c r="K28" s="55">
        <f t="shared" si="11"/>
        <v>19968</v>
      </c>
      <c r="L28" s="32">
        <f t="shared" si="12"/>
        <v>18938</v>
      </c>
      <c r="M28" s="55">
        <f t="shared" ref="M28:M58" si="15">SUM(AA28:DA28)</f>
        <v>111987</v>
      </c>
      <c r="N28" s="32">
        <f t="shared" ref="N28:N58" si="16">SUM(DN28:GN28)</f>
        <v>117501</v>
      </c>
      <c r="O28" s="924">
        <v>1107</v>
      </c>
      <c r="P28" s="924">
        <v>1173</v>
      </c>
      <c r="Q28" s="924">
        <v>1282</v>
      </c>
      <c r="R28" s="924">
        <v>1339</v>
      </c>
      <c r="S28" s="924">
        <v>1482</v>
      </c>
      <c r="T28" s="924">
        <v>1553</v>
      </c>
      <c r="U28" s="924">
        <v>1488</v>
      </c>
      <c r="V28" s="924">
        <v>1714</v>
      </c>
      <c r="W28" s="924">
        <v>1607</v>
      </c>
      <c r="X28" s="924">
        <v>1678</v>
      </c>
      <c r="Y28" s="924">
        <v>1685</v>
      </c>
      <c r="Z28" s="924">
        <v>1753</v>
      </c>
      <c r="AA28" s="924">
        <v>1680</v>
      </c>
      <c r="AB28" s="924">
        <v>1768</v>
      </c>
      <c r="AC28" s="924">
        <v>1702</v>
      </c>
      <c r="AD28" s="924">
        <v>1697</v>
      </c>
      <c r="AE28" s="924">
        <v>1643</v>
      </c>
      <c r="AF28" s="924">
        <v>1621</v>
      </c>
      <c r="AG28" s="924">
        <v>1493</v>
      </c>
      <c r="AH28" s="924">
        <v>1215</v>
      </c>
      <c r="AI28" s="924">
        <v>1236</v>
      </c>
      <c r="AJ28" s="924">
        <v>1166</v>
      </c>
      <c r="AK28" s="924">
        <v>1173</v>
      </c>
      <c r="AL28" s="924">
        <v>1195</v>
      </c>
      <c r="AM28" s="924">
        <v>1161</v>
      </c>
      <c r="AN28" s="924">
        <v>976</v>
      </c>
      <c r="AO28" s="924">
        <v>1121</v>
      </c>
      <c r="AP28" s="924">
        <v>1043</v>
      </c>
      <c r="AQ28" s="924">
        <v>1098</v>
      </c>
      <c r="AR28" s="924">
        <v>1198</v>
      </c>
      <c r="AS28" s="924">
        <v>1244</v>
      </c>
      <c r="AT28" s="924">
        <v>1293</v>
      </c>
      <c r="AU28" s="924">
        <v>1468</v>
      </c>
      <c r="AV28" s="924">
        <v>1410</v>
      </c>
      <c r="AW28" s="924">
        <v>1528</v>
      </c>
      <c r="AX28" s="924">
        <v>1536</v>
      </c>
      <c r="AY28" s="924">
        <v>1536</v>
      </c>
      <c r="AZ28" s="924">
        <v>1589</v>
      </c>
      <c r="BA28" s="924">
        <v>1681</v>
      </c>
      <c r="BB28" s="924">
        <v>1710</v>
      </c>
      <c r="BC28" s="924">
        <v>1706</v>
      </c>
      <c r="BD28" s="924">
        <v>1669</v>
      </c>
      <c r="BE28" s="924">
        <v>1786</v>
      </c>
      <c r="BF28" s="924">
        <v>1696</v>
      </c>
      <c r="BG28" s="924">
        <v>1683</v>
      </c>
      <c r="BH28" s="924">
        <v>1557</v>
      </c>
      <c r="BI28" s="924">
        <v>1612</v>
      </c>
      <c r="BJ28" s="924">
        <v>1607</v>
      </c>
      <c r="BK28" s="924">
        <v>1656</v>
      </c>
      <c r="BL28" s="924">
        <v>1768</v>
      </c>
      <c r="BM28" s="924">
        <v>1849</v>
      </c>
      <c r="BN28" s="924">
        <v>1839</v>
      </c>
      <c r="BO28" s="924">
        <v>1939</v>
      </c>
      <c r="BP28" s="924">
        <v>1979</v>
      </c>
      <c r="BQ28" s="924">
        <v>1993</v>
      </c>
      <c r="BR28" s="924">
        <v>2035</v>
      </c>
      <c r="BS28" s="924">
        <v>2009</v>
      </c>
      <c r="BT28" s="924">
        <v>1973</v>
      </c>
      <c r="BU28" s="924">
        <v>2008</v>
      </c>
      <c r="BV28" s="924">
        <v>2083</v>
      </c>
      <c r="BW28" s="924">
        <v>1994</v>
      </c>
      <c r="BX28" s="924">
        <v>1952</v>
      </c>
      <c r="BY28" s="924">
        <v>1847</v>
      </c>
      <c r="BZ28" s="924">
        <v>1781</v>
      </c>
      <c r="CA28" s="924">
        <v>1732</v>
      </c>
      <c r="CB28" s="924">
        <v>1801</v>
      </c>
      <c r="CC28" s="924">
        <v>1674</v>
      </c>
      <c r="CD28" s="924">
        <v>1682</v>
      </c>
      <c r="CE28" s="924">
        <v>1599</v>
      </c>
      <c r="CF28" s="924">
        <v>1549</v>
      </c>
      <c r="CG28" s="924">
        <v>1387</v>
      </c>
      <c r="CH28" s="924">
        <v>1405</v>
      </c>
      <c r="CI28" s="924">
        <v>1421</v>
      </c>
      <c r="CJ28" s="924">
        <v>1348</v>
      </c>
      <c r="CK28" s="924">
        <v>1488</v>
      </c>
      <c r="CL28" s="924">
        <v>1463</v>
      </c>
      <c r="CM28" s="924">
        <v>1437</v>
      </c>
      <c r="CN28" s="924">
        <v>1096</v>
      </c>
      <c r="CO28" s="924">
        <v>890</v>
      </c>
      <c r="CP28" s="924">
        <v>941</v>
      </c>
      <c r="CQ28" s="924">
        <v>808</v>
      </c>
      <c r="CR28" s="924">
        <v>743</v>
      </c>
      <c r="CS28" s="924">
        <v>613</v>
      </c>
      <c r="CT28" s="924">
        <v>602</v>
      </c>
      <c r="CU28" s="924">
        <v>516</v>
      </c>
      <c r="CV28" s="924">
        <v>482</v>
      </c>
      <c r="CW28" s="924">
        <v>395</v>
      </c>
      <c r="CX28" s="924">
        <v>392</v>
      </c>
      <c r="CY28" s="924">
        <v>280</v>
      </c>
      <c r="CZ28" s="924">
        <v>261</v>
      </c>
      <c r="DA28" s="926">
        <v>780</v>
      </c>
      <c r="DB28" s="39">
        <v>1046</v>
      </c>
      <c r="DC28" s="39">
        <v>1220</v>
      </c>
      <c r="DD28" s="39">
        <v>1189</v>
      </c>
      <c r="DE28" s="39">
        <v>1266</v>
      </c>
      <c r="DF28" s="39">
        <v>1378</v>
      </c>
      <c r="DG28" s="39">
        <v>1552</v>
      </c>
      <c r="DH28" s="39">
        <v>1390</v>
      </c>
      <c r="DI28" s="39">
        <v>1609</v>
      </c>
      <c r="DJ28" s="39">
        <v>1553</v>
      </c>
      <c r="DK28" s="39">
        <v>1593</v>
      </c>
      <c r="DL28" s="39">
        <v>1547</v>
      </c>
      <c r="DM28" s="39">
        <v>1628</v>
      </c>
      <c r="DN28" s="39">
        <v>1629</v>
      </c>
      <c r="DO28" s="39">
        <v>1748</v>
      </c>
      <c r="DP28" s="39">
        <v>1635</v>
      </c>
      <c r="DQ28" s="39">
        <v>1540</v>
      </c>
      <c r="DR28" s="39">
        <v>1514</v>
      </c>
      <c r="DS28" s="39">
        <v>1555</v>
      </c>
      <c r="DT28" s="39">
        <v>1283</v>
      </c>
      <c r="DU28" s="39">
        <v>999</v>
      </c>
      <c r="DV28" s="39">
        <v>1018</v>
      </c>
      <c r="DW28" s="39">
        <v>959</v>
      </c>
      <c r="DX28" s="39">
        <v>1007</v>
      </c>
      <c r="DY28" s="39">
        <v>968</v>
      </c>
      <c r="DZ28" s="39">
        <v>1017</v>
      </c>
      <c r="EA28" s="39">
        <v>985</v>
      </c>
      <c r="EB28" s="39">
        <v>1057</v>
      </c>
      <c r="EC28" s="39">
        <v>1087</v>
      </c>
      <c r="ED28" s="39">
        <v>1130</v>
      </c>
      <c r="EE28" s="39">
        <v>1325</v>
      </c>
      <c r="EF28" s="39">
        <v>1415</v>
      </c>
      <c r="EG28" s="39">
        <v>1562</v>
      </c>
      <c r="EH28" s="39">
        <v>1581</v>
      </c>
      <c r="EI28" s="39">
        <v>1584</v>
      </c>
      <c r="EJ28" s="39">
        <v>1623</v>
      </c>
      <c r="EK28" s="39">
        <v>1716</v>
      </c>
      <c r="EL28" s="39">
        <v>1703</v>
      </c>
      <c r="EM28" s="39">
        <v>1788</v>
      </c>
      <c r="EN28" s="39">
        <v>1814</v>
      </c>
      <c r="EO28" s="39">
        <v>1809</v>
      </c>
      <c r="EP28" s="39">
        <v>1737</v>
      </c>
      <c r="EQ28" s="39">
        <v>1773</v>
      </c>
      <c r="ER28" s="39">
        <v>1857</v>
      </c>
      <c r="ES28" s="39">
        <v>1822</v>
      </c>
      <c r="ET28" s="39">
        <v>1807</v>
      </c>
      <c r="EU28" s="39">
        <v>1734</v>
      </c>
      <c r="EV28" s="39">
        <v>1699</v>
      </c>
      <c r="EW28" s="39">
        <v>1722</v>
      </c>
      <c r="EX28" s="39">
        <v>1816</v>
      </c>
      <c r="EY28" s="39">
        <v>1908</v>
      </c>
      <c r="EZ28" s="39">
        <v>1956</v>
      </c>
      <c r="FA28" s="39">
        <v>1982</v>
      </c>
      <c r="FB28" s="39">
        <v>2203</v>
      </c>
      <c r="FC28" s="39">
        <v>2096</v>
      </c>
      <c r="FD28" s="39">
        <v>2124</v>
      </c>
      <c r="FE28" s="39">
        <v>2007</v>
      </c>
      <c r="FF28" s="39">
        <v>2097</v>
      </c>
      <c r="FG28" s="39">
        <v>2098</v>
      </c>
      <c r="FH28" s="39">
        <v>2112</v>
      </c>
      <c r="FI28" s="39">
        <v>2116</v>
      </c>
      <c r="FJ28" s="39">
        <v>2131</v>
      </c>
      <c r="FK28" s="39">
        <v>1958</v>
      </c>
      <c r="FL28" s="39">
        <v>1842</v>
      </c>
      <c r="FM28" s="39">
        <v>1836</v>
      </c>
      <c r="FN28" s="39">
        <v>1804</v>
      </c>
      <c r="FO28" s="39">
        <v>1718</v>
      </c>
      <c r="FP28" s="39">
        <v>1759</v>
      </c>
      <c r="FQ28" s="39">
        <v>1724</v>
      </c>
      <c r="FR28" s="39">
        <v>1657</v>
      </c>
      <c r="FS28" s="39">
        <v>1646</v>
      </c>
      <c r="FT28" s="39">
        <v>1545</v>
      </c>
      <c r="FU28" s="39">
        <v>1474</v>
      </c>
      <c r="FV28" s="39">
        <v>1486</v>
      </c>
      <c r="FW28" s="39">
        <v>1455</v>
      </c>
      <c r="FX28" s="39">
        <v>1470</v>
      </c>
      <c r="FY28" s="39">
        <v>1480</v>
      </c>
      <c r="FZ28" s="39">
        <v>1575</v>
      </c>
      <c r="GA28" s="39">
        <v>1177</v>
      </c>
      <c r="GB28" s="39">
        <v>1071</v>
      </c>
      <c r="GC28" s="39">
        <v>1012</v>
      </c>
      <c r="GD28" s="39">
        <v>962</v>
      </c>
      <c r="GE28" s="39">
        <v>889</v>
      </c>
      <c r="GF28" s="39">
        <v>741</v>
      </c>
      <c r="GG28" s="39">
        <v>734</v>
      </c>
      <c r="GH28" s="39">
        <v>656</v>
      </c>
      <c r="GI28" s="39">
        <v>638</v>
      </c>
      <c r="GJ28" s="39">
        <v>562</v>
      </c>
      <c r="GK28" s="39">
        <v>482</v>
      </c>
      <c r="GL28" s="39">
        <v>431</v>
      </c>
      <c r="GM28" s="39">
        <v>399</v>
      </c>
      <c r="GN28" s="40">
        <v>1470</v>
      </c>
    </row>
    <row r="29" spans="1:196" s="1" customFormat="1" x14ac:dyDescent="0.2">
      <c r="A29" s="41" t="s">
        <v>1039</v>
      </c>
      <c r="B29" s="284" t="s">
        <v>996</v>
      </c>
      <c r="C29" s="24" t="str">
        <f t="shared" si="10"/>
        <v>Council area - Angus</v>
      </c>
      <c r="D29" s="32">
        <f t="shared" ref="D29:E58" si="17">I29</f>
        <v>53078</v>
      </c>
      <c r="E29" s="32">
        <f t="shared" si="17"/>
        <v>56962</v>
      </c>
      <c r="F29" s="33">
        <f t="shared" ref="F29:F58" si="18">G29+H29</f>
        <v>114820</v>
      </c>
      <c r="G29" s="33">
        <f t="shared" ref="G29:G58" si="19">SUM(O29:DA29)</f>
        <v>55524</v>
      </c>
      <c r="H29" s="34">
        <f t="shared" ref="H29:H58" si="20">SUM(DB29:GN29)</f>
        <v>59296</v>
      </c>
      <c r="I29" s="390">
        <f t="shared" si="13"/>
        <v>53078</v>
      </c>
      <c r="J29" s="34">
        <f t="shared" si="14"/>
        <v>56962</v>
      </c>
      <c r="K29" s="55">
        <f t="shared" si="11"/>
        <v>7416</v>
      </c>
      <c r="L29" s="32">
        <f t="shared" si="12"/>
        <v>7226</v>
      </c>
      <c r="M29" s="55">
        <f t="shared" si="15"/>
        <v>48839</v>
      </c>
      <c r="N29" s="32">
        <f t="shared" si="16"/>
        <v>52904</v>
      </c>
      <c r="O29" s="924">
        <v>434</v>
      </c>
      <c r="P29" s="924">
        <v>494</v>
      </c>
      <c r="Q29" s="924">
        <v>434</v>
      </c>
      <c r="R29" s="924">
        <v>521</v>
      </c>
      <c r="S29" s="924">
        <v>563</v>
      </c>
      <c r="T29" s="924">
        <v>546</v>
      </c>
      <c r="U29" s="924">
        <v>581</v>
      </c>
      <c r="V29" s="924">
        <v>574</v>
      </c>
      <c r="W29" s="924">
        <v>631</v>
      </c>
      <c r="X29" s="924">
        <v>661</v>
      </c>
      <c r="Y29" s="924">
        <v>611</v>
      </c>
      <c r="Z29" s="924">
        <v>635</v>
      </c>
      <c r="AA29" s="924">
        <v>642</v>
      </c>
      <c r="AB29" s="924">
        <v>584</v>
      </c>
      <c r="AC29" s="924">
        <v>640</v>
      </c>
      <c r="AD29" s="924">
        <v>662</v>
      </c>
      <c r="AE29" s="924">
        <v>649</v>
      </c>
      <c r="AF29" s="924">
        <v>632</v>
      </c>
      <c r="AG29" s="924">
        <v>629</v>
      </c>
      <c r="AH29" s="924">
        <v>585</v>
      </c>
      <c r="AI29" s="924">
        <v>514</v>
      </c>
      <c r="AJ29" s="924">
        <v>539</v>
      </c>
      <c r="AK29" s="924">
        <v>536</v>
      </c>
      <c r="AL29" s="924">
        <v>600</v>
      </c>
      <c r="AM29" s="924">
        <v>498</v>
      </c>
      <c r="AN29" s="924">
        <v>519</v>
      </c>
      <c r="AO29" s="924">
        <v>544</v>
      </c>
      <c r="AP29" s="924">
        <v>550</v>
      </c>
      <c r="AQ29" s="924">
        <v>528</v>
      </c>
      <c r="AR29" s="924">
        <v>533</v>
      </c>
      <c r="AS29" s="924">
        <v>564</v>
      </c>
      <c r="AT29" s="924">
        <v>514</v>
      </c>
      <c r="AU29" s="924">
        <v>625</v>
      </c>
      <c r="AV29" s="924">
        <v>604</v>
      </c>
      <c r="AW29" s="924">
        <v>554</v>
      </c>
      <c r="AX29" s="924">
        <v>607</v>
      </c>
      <c r="AY29" s="924">
        <v>583</v>
      </c>
      <c r="AZ29" s="924">
        <v>689</v>
      </c>
      <c r="BA29" s="924">
        <v>588</v>
      </c>
      <c r="BB29" s="924">
        <v>690</v>
      </c>
      <c r="BC29" s="924">
        <v>609</v>
      </c>
      <c r="BD29" s="924">
        <v>652</v>
      </c>
      <c r="BE29" s="924">
        <v>623</v>
      </c>
      <c r="BF29" s="924">
        <v>608</v>
      </c>
      <c r="BG29" s="924">
        <v>693</v>
      </c>
      <c r="BH29" s="924">
        <v>572</v>
      </c>
      <c r="BI29" s="924">
        <v>560</v>
      </c>
      <c r="BJ29" s="924">
        <v>617</v>
      </c>
      <c r="BK29" s="924">
        <v>603</v>
      </c>
      <c r="BL29" s="924">
        <v>648</v>
      </c>
      <c r="BM29" s="924">
        <v>761</v>
      </c>
      <c r="BN29" s="924">
        <v>772</v>
      </c>
      <c r="BO29" s="924">
        <v>762</v>
      </c>
      <c r="BP29" s="924">
        <v>873</v>
      </c>
      <c r="BQ29" s="924">
        <v>852</v>
      </c>
      <c r="BR29" s="924">
        <v>780</v>
      </c>
      <c r="BS29" s="924">
        <v>861</v>
      </c>
      <c r="BT29" s="924">
        <v>889</v>
      </c>
      <c r="BU29" s="924">
        <v>930</v>
      </c>
      <c r="BV29" s="924">
        <v>908</v>
      </c>
      <c r="BW29" s="924">
        <v>892</v>
      </c>
      <c r="BX29" s="924">
        <v>950</v>
      </c>
      <c r="BY29" s="924">
        <v>807</v>
      </c>
      <c r="BZ29" s="924">
        <v>874</v>
      </c>
      <c r="CA29" s="924">
        <v>810</v>
      </c>
      <c r="CB29" s="924">
        <v>766</v>
      </c>
      <c r="CC29" s="924">
        <v>782</v>
      </c>
      <c r="CD29" s="924">
        <v>755</v>
      </c>
      <c r="CE29" s="924">
        <v>686</v>
      </c>
      <c r="CF29" s="924">
        <v>727</v>
      </c>
      <c r="CG29" s="924">
        <v>762</v>
      </c>
      <c r="CH29" s="924">
        <v>679</v>
      </c>
      <c r="CI29" s="924">
        <v>718</v>
      </c>
      <c r="CJ29" s="924">
        <v>749</v>
      </c>
      <c r="CK29" s="924">
        <v>689</v>
      </c>
      <c r="CL29" s="924">
        <v>741</v>
      </c>
      <c r="CM29" s="924">
        <v>759</v>
      </c>
      <c r="CN29" s="924">
        <v>537</v>
      </c>
      <c r="CO29" s="924">
        <v>504</v>
      </c>
      <c r="CP29" s="924">
        <v>501</v>
      </c>
      <c r="CQ29" s="924">
        <v>469</v>
      </c>
      <c r="CR29" s="924">
        <v>335</v>
      </c>
      <c r="CS29" s="924">
        <v>335</v>
      </c>
      <c r="CT29" s="924">
        <v>340</v>
      </c>
      <c r="CU29" s="924">
        <v>256</v>
      </c>
      <c r="CV29" s="924">
        <v>251</v>
      </c>
      <c r="CW29" s="924">
        <v>240</v>
      </c>
      <c r="CX29" s="924">
        <v>225</v>
      </c>
      <c r="CY29" s="924">
        <v>159</v>
      </c>
      <c r="CZ29" s="924">
        <v>118</v>
      </c>
      <c r="DA29" s="926">
        <v>448</v>
      </c>
      <c r="DB29" s="39">
        <v>431</v>
      </c>
      <c r="DC29" s="39">
        <v>473</v>
      </c>
      <c r="DD29" s="39">
        <v>468</v>
      </c>
      <c r="DE29" s="39">
        <v>488</v>
      </c>
      <c r="DF29" s="39">
        <v>474</v>
      </c>
      <c r="DG29" s="39">
        <v>466</v>
      </c>
      <c r="DH29" s="39">
        <v>570</v>
      </c>
      <c r="DI29" s="39">
        <v>545</v>
      </c>
      <c r="DJ29" s="39">
        <v>574</v>
      </c>
      <c r="DK29" s="39">
        <v>604</v>
      </c>
      <c r="DL29" s="39">
        <v>651</v>
      </c>
      <c r="DM29" s="39">
        <v>648</v>
      </c>
      <c r="DN29" s="39">
        <v>607</v>
      </c>
      <c r="DO29" s="39">
        <v>648</v>
      </c>
      <c r="DP29" s="39">
        <v>640</v>
      </c>
      <c r="DQ29" s="39">
        <v>646</v>
      </c>
      <c r="DR29" s="39">
        <v>627</v>
      </c>
      <c r="DS29" s="39">
        <v>608</v>
      </c>
      <c r="DT29" s="39">
        <v>595</v>
      </c>
      <c r="DU29" s="39">
        <v>510</v>
      </c>
      <c r="DV29" s="39">
        <v>477</v>
      </c>
      <c r="DW29" s="39">
        <v>490</v>
      </c>
      <c r="DX29" s="39">
        <v>492</v>
      </c>
      <c r="DY29" s="39">
        <v>524</v>
      </c>
      <c r="DZ29" s="39">
        <v>486</v>
      </c>
      <c r="EA29" s="39">
        <v>525</v>
      </c>
      <c r="EB29" s="39">
        <v>553</v>
      </c>
      <c r="EC29" s="39">
        <v>584</v>
      </c>
      <c r="ED29" s="39">
        <v>547</v>
      </c>
      <c r="EE29" s="39">
        <v>596</v>
      </c>
      <c r="EF29" s="39">
        <v>640</v>
      </c>
      <c r="EG29" s="39">
        <v>585</v>
      </c>
      <c r="EH29" s="39">
        <v>684</v>
      </c>
      <c r="EI29" s="39">
        <v>590</v>
      </c>
      <c r="EJ29" s="39">
        <v>680</v>
      </c>
      <c r="EK29" s="39">
        <v>719</v>
      </c>
      <c r="EL29" s="39">
        <v>646</v>
      </c>
      <c r="EM29" s="39">
        <v>676</v>
      </c>
      <c r="EN29" s="39">
        <v>682</v>
      </c>
      <c r="EO29" s="39">
        <v>708</v>
      </c>
      <c r="EP29" s="39">
        <v>698</v>
      </c>
      <c r="EQ29" s="39">
        <v>717</v>
      </c>
      <c r="ER29" s="39">
        <v>714</v>
      </c>
      <c r="ES29" s="39">
        <v>668</v>
      </c>
      <c r="ET29" s="39">
        <v>691</v>
      </c>
      <c r="EU29" s="39">
        <v>656</v>
      </c>
      <c r="EV29" s="39">
        <v>629</v>
      </c>
      <c r="EW29" s="39">
        <v>694</v>
      </c>
      <c r="EX29" s="39">
        <v>666</v>
      </c>
      <c r="EY29" s="39">
        <v>774</v>
      </c>
      <c r="EZ29" s="39">
        <v>812</v>
      </c>
      <c r="FA29" s="39">
        <v>812</v>
      </c>
      <c r="FB29" s="39">
        <v>871</v>
      </c>
      <c r="FC29" s="39">
        <v>827</v>
      </c>
      <c r="FD29" s="39">
        <v>958</v>
      </c>
      <c r="FE29" s="39">
        <v>880</v>
      </c>
      <c r="FF29" s="39">
        <v>884</v>
      </c>
      <c r="FG29" s="39">
        <v>923</v>
      </c>
      <c r="FH29" s="39">
        <v>994</v>
      </c>
      <c r="FI29" s="39">
        <v>940</v>
      </c>
      <c r="FJ29" s="39">
        <v>966</v>
      </c>
      <c r="FK29" s="39">
        <v>940</v>
      </c>
      <c r="FL29" s="39">
        <v>956</v>
      </c>
      <c r="FM29" s="39">
        <v>915</v>
      </c>
      <c r="FN29" s="39">
        <v>899</v>
      </c>
      <c r="FO29" s="39">
        <v>852</v>
      </c>
      <c r="FP29" s="39">
        <v>815</v>
      </c>
      <c r="FQ29" s="39">
        <v>787</v>
      </c>
      <c r="FR29" s="39">
        <v>758</v>
      </c>
      <c r="FS29" s="39">
        <v>765</v>
      </c>
      <c r="FT29" s="39">
        <v>782</v>
      </c>
      <c r="FU29" s="39">
        <v>711</v>
      </c>
      <c r="FV29" s="39">
        <v>745</v>
      </c>
      <c r="FW29" s="39">
        <v>729</v>
      </c>
      <c r="FX29" s="39">
        <v>809</v>
      </c>
      <c r="FY29" s="39">
        <v>809</v>
      </c>
      <c r="FZ29" s="39">
        <v>929</v>
      </c>
      <c r="GA29" s="39">
        <v>590</v>
      </c>
      <c r="GB29" s="39">
        <v>607</v>
      </c>
      <c r="GC29" s="39">
        <v>557</v>
      </c>
      <c r="GD29" s="39">
        <v>555</v>
      </c>
      <c r="GE29" s="39">
        <v>452</v>
      </c>
      <c r="GF29" s="39">
        <v>390</v>
      </c>
      <c r="GG29" s="39">
        <v>421</v>
      </c>
      <c r="GH29" s="39">
        <v>366</v>
      </c>
      <c r="GI29" s="39">
        <v>353</v>
      </c>
      <c r="GJ29" s="39">
        <v>282</v>
      </c>
      <c r="GK29" s="39">
        <v>261</v>
      </c>
      <c r="GL29" s="39">
        <v>249</v>
      </c>
      <c r="GM29" s="39">
        <v>203</v>
      </c>
      <c r="GN29" s="40">
        <v>878</v>
      </c>
    </row>
    <row r="30" spans="1:196" s="1" customFormat="1" x14ac:dyDescent="0.2">
      <c r="A30" s="41" t="s">
        <v>1039</v>
      </c>
      <c r="B30" s="284" t="s">
        <v>997</v>
      </c>
      <c r="C30" s="24" t="str">
        <f t="shared" si="10"/>
        <v>Council area - Argyll and Bute</v>
      </c>
      <c r="D30" s="32">
        <f t="shared" si="17"/>
        <v>42165</v>
      </c>
      <c r="E30" s="32">
        <f t="shared" si="17"/>
        <v>42474</v>
      </c>
      <c r="F30" s="33">
        <f t="shared" si="18"/>
        <v>87810</v>
      </c>
      <c r="G30" s="33">
        <f t="shared" si="19"/>
        <v>43788</v>
      </c>
      <c r="H30" s="34">
        <f t="shared" si="20"/>
        <v>44022</v>
      </c>
      <c r="I30" s="390">
        <f t="shared" si="13"/>
        <v>42165</v>
      </c>
      <c r="J30" s="34">
        <f t="shared" si="14"/>
        <v>42474</v>
      </c>
      <c r="K30" s="55">
        <f t="shared" si="11"/>
        <v>5160</v>
      </c>
      <c r="L30" s="32">
        <f t="shared" si="12"/>
        <v>4919</v>
      </c>
      <c r="M30" s="55">
        <f t="shared" si="15"/>
        <v>39282</v>
      </c>
      <c r="N30" s="32">
        <f t="shared" si="16"/>
        <v>39756</v>
      </c>
      <c r="O30" s="924">
        <v>306</v>
      </c>
      <c r="P30" s="924">
        <v>311</v>
      </c>
      <c r="Q30" s="924">
        <v>316</v>
      </c>
      <c r="R30" s="924">
        <v>328</v>
      </c>
      <c r="S30" s="924">
        <v>362</v>
      </c>
      <c r="T30" s="924">
        <v>388</v>
      </c>
      <c r="U30" s="924">
        <v>374</v>
      </c>
      <c r="V30" s="924">
        <v>423</v>
      </c>
      <c r="W30" s="924">
        <v>410</v>
      </c>
      <c r="X30" s="924">
        <v>416</v>
      </c>
      <c r="Y30" s="924">
        <v>428</v>
      </c>
      <c r="Z30" s="924">
        <v>444</v>
      </c>
      <c r="AA30" s="924">
        <v>450</v>
      </c>
      <c r="AB30" s="924">
        <v>462</v>
      </c>
      <c r="AC30" s="924">
        <v>447</v>
      </c>
      <c r="AD30" s="924">
        <v>466</v>
      </c>
      <c r="AE30" s="924">
        <v>452</v>
      </c>
      <c r="AF30" s="924">
        <v>495</v>
      </c>
      <c r="AG30" s="924">
        <v>462</v>
      </c>
      <c r="AH30" s="924">
        <v>490</v>
      </c>
      <c r="AI30" s="924">
        <v>417</v>
      </c>
      <c r="AJ30" s="924">
        <v>456</v>
      </c>
      <c r="AK30" s="924">
        <v>452</v>
      </c>
      <c r="AL30" s="924">
        <v>526</v>
      </c>
      <c r="AM30" s="924">
        <v>429</v>
      </c>
      <c r="AN30" s="924">
        <v>498</v>
      </c>
      <c r="AO30" s="924">
        <v>471</v>
      </c>
      <c r="AP30" s="924">
        <v>387</v>
      </c>
      <c r="AQ30" s="924">
        <v>455</v>
      </c>
      <c r="AR30" s="924">
        <v>453</v>
      </c>
      <c r="AS30" s="924">
        <v>383</v>
      </c>
      <c r="AT30" s="924">
        <v>475</v>
      </c>
      <c r="AU30" s="924">
        <v>447</v>
      </c>
      <c r="AV30" s="924">
        <v>450</v>
      </c>
      <c r="AW30" s="924">
        <v>524</v>
      </c>
      <c r="AX30" s="924">
        <v>409</v>
      </c>
      <c r="AY30" s="924">
        <v>477</v>
      </c>
      <c r="AZ30" s="924">
        <v>485</v>
      </c>
      <c r="BA30" s="924">
        <v>502</v>
      </c>
      <c r="BB30" s="924">
        <v>484</v>
      </c>
      <c r="BC30" s="924">
        <v>462</v>
      </c>
      <c r="BD30" s="924">
        <v>464</v>
      </c>
      <c r="BE30" s="924">
        <v>507</v>
      </c>
      <c r="BF30" s="924">
        <v>503</v>
      </c>
      <c r="BG30" s="924">
        <v>398</v>
      </c>
      <c r="BH30" s="924">
        <v>467</v>
      </c>
      <c r="BI30" s="924">
        <v>415</v>
      </c>
      <c r="BJ30" s="924">
        <v>457</v>
      </c>
      <c r="BK30" s="924">
        <v>503</v>
      </c>
      <c r="BL30" s="924">
        <v>502</v>
      </c>
      <c r="BM30" s="924">
        <v>556</v>
      </c>
      <c r="BN30" s="924">
        <v>575</v>
      </c>
      <c r="BO30" s="924">
        <v>640</v>
      </c>
      <c r="BP30" s="924">
        <v>630</v>
      </c>
      <c r="BQ30" s="924">
        <v>667</v>
      </c>
      <c r="BR30" s="924">
        <v>740</v>
      </c>
      <c r="BS30" s="924">
        <v>758</v>
      </c>
      <c r="BT30" s="924">
        <v>743</v>
      </c>
      <c r="BU30" s="924">
        <v>762</v>
      </c>
      <c r="BV30" s="924">
        <v>716</v>
      </c>
      <c r="BW30" s="924">
        <v>778</v>
      </c>
      <c r="BX30" s="924">
        <v>751</v>
      </c>
      <c r="BY30" s="924">
        <v>764</v>
      </c>
      <c r="BZ30" s="924">
        <v>723</v>
      </c>
      <c r="CA30" s="924">
        <v>694</v>
      </c>
      <c r="CB30" s="924">
        <v>684</v>
      </c>
      <c r="CC30" s="924">
        <v>681</v>
      </c>
      <c r="CD30" s="924">
        <v>691</v>
      </c>
      <c r="CE30" s="924">
        <v>637</v>
      </c>
      <c r="CF30" s="924">
        <v>622</v>
      </c>
      <c r="CG30" s="924">
        <v>574</v>
      </c>
      <c r="CH30" s="924">
        <v>589</v>
      </c>
      <c r="CI30" s="924">
        <v>590</v>
      </c>
      <c r="CJ30" s="924">
        <v>587</v>
      </c>
      <c r="CK30" s="924">
        <v>654</v>
      </c>
      <c r="CL30" s="924">
        <v>562</v>
      </c>
      <c r="CM30" s="924">
        <v>586</v>
      </c>
      <c r="CN30" s="924">
        <v>446</v>
      </c>
      <c r="CO30" s="924">
        <v>384</v>
      </c>
      <c r="CP30" s="924">
        <v>402</v>
      </c>
      <c r="CQ30" s="924">
        <v>356</v>
      </c>
      <c r="CR30" s="924">
        <v>315</v>
      </c>
      <c r="CS30" s="924">
        <v>247</v>
      </c>
      <c r="CT30" s="924">
        <v>271</v>
      </c>
      <c r="CU30" s="924">
        <v>233</v>
      </c>
      <c r="CV30" s="924">
        <v>198</v>
      </c>
      <c r="CW30" s="924">
        <v>167</v>
      </c>
      <c r="CX30" s="924">
        <v>122</v>
      </c>
      <c r="CY30" s="924">
        <v>152</v>
      </c>
      <c r="CZ30" s="924">
        <v>99</v>
      </c>
      <c r="DA30" s="926">
        <v>354</v>
      </c>
      <c r="DB30" s="39">
        <v>270</v>
      </c>
      <c r="DC30" s="39">
        <v>306</v>
      </c>
      <c r="DD30" s="39">
        <v>317</v>
      </c>
      <c r="DE30" s="39">
        <v>309</v>
      </c>
      <c r="DF30" s="39">
        <v>346</v>
      </c>
      <c r="DG30" s="39">
        <v>325</v>
      </c>
      <c r="DH30" s="39">
        <v>328</v>
      </c>
      <c r="DI30" s="39">
        <v>382</v>
      </c>
      <c r="DJ30" s="39">
        <v>407</v>
      </c>
      <c r="DK30" s="39">
        <v>411</v>
      </c>
      <c r="DL30" s="39">
        <v>396</v>
      </c>
      <c r="DM30" s="39">
        <v>469</v>
      </c>
      <c r="DN30" s="39">
        <v>397</v>
      </c>
      <c r="DO30" s="39">
        <v>442</v>
      </c>
      <c r="DP30" s="39">
        <v>481</v>
      </c>
      <c r="DQ30" s="39">
        <v>452</v>
      </c>
      <c r="DR30" s="39">
        <v>429</v>
      </c>
      <c r="DS30" s="39">
        <v>415</v>
      </c>
      <c r="DT30" s="39">
        <v>397</v>
      </c>
      <c r="DU30" s="39">
        <v>363</v>
      </c>
      <c r="DV30" s="39">
        <v>282</v>
      </c>
      <c r="DW30" s="39">
        <v>281</v>
      </c>
      <c r="DX30" s="39">
        <v>291</v>
      </c>
      <c r="DY30" s="39">
        <v>303</v>
      </c>
      <c r="DZ30" s="39">
        <v>322</v>
      </c>
      <c r="EA30" s="39">
        <v>293</v>
      </c>
      <c r="EB30" s="39">
        <v>338</v>
      </c>
      <c r="EC30" s="39">
        <v>392</v>
      </c>
      <c r="ED30" s="39">
        <v>363</v>
      </c>
      <c r="EE30" s="39">
        <v>405</v>
      </c>
      <c r="EF30" s="39">
        <v>416</v>
      </c>
      <c r="EG30" s="39">
        <v>430</v>
      </c>
      <c r="EH30" s="39">
        <v>411</v>
      </c>
      <c r="EI30" s="39">
        <v>461</v>
      </c>
      <c r="EJ30" s="39">
        <v>502</v>
      </c>
      <c r="EK30" s="39">
        <v>416</v>
      </c>
      <c r="EL30" s="39">
        <v>472</v>
      </c>
      <c r="EM30" s="39">
        <v>444</v>
      </c>
      <c r="EN30" s="39">
        <v>430</v>
      </c>
      <c r="EO30" s="39">
        <v>450</v>
      </c>
      <c r="EP30" s="39">
        <v>500</v>
      </c>
      <c r="EQ30" s="39">
        <v>473</v>
      </c>
      <c r="ER30" s="39">
        <v>491</v>
      </c>
      <c r="ES30" s="39">
        <v>490</v>
      </c>
      <c r="ET30" s="39">
        <v>447</v>
      </c>
      <c r="EU30" s="39">
        <v>445</v>
      </c>
      <c r="EV30" s="39">
        <v>470</v>
      </c>
      <c r="EW30" s="39">
        <v>482</v>
      </c>
      <c r="EX30" s="39">
        <v>543</v>
      </c>
      <c r="EY30" s="39">
        <v>541</v>
      </c>
      <c r="EZ30" s="39">
        <v>592</v>
      </c>
      <c r="FA30" s="39">
        <v>666</v>
      </c>
      <c r="FB30" s="39">
        <v>688</v>
      </c>
      <c r="FC30" s="39">
        <v>715</v>
      </c>
      <c r="FD30" s="39">
        <v>702</v>
      </c>
      <c r="FE30" s="39">
        <v>745</v>
      </c>
      <c r="FF30" s="39">
        <v>735</v>
      </c>
      <c r="FG30" s="39">
        <v>783</v>
      </c>
      <c r="FH30" s="39">
        <v>891</v>
      </c>
      <c r="FI30" s="39">
        <v>808</v>
      </c>
      <c r="FJ30" s="39">
        <v>781</v>
      </c>
      <c r="FK30" s="39">
        <v>768</v>
      </c>
      <c r="FL30" s="39">
        <v>740</v>
      </c>
      <c r="FM30" s="39">
        <v>749</v>
      </c>
      <c r="FN30" s="39">
        <v>711</v>
      </c>
      <c r="FO30" s="39">
        <v>744</v>
      </c>
      <c r="FP30" s="39">
        <v>723</v>
      </c>
      <c r="FQ30" s="39">
        <v>686</v>
      </c>
      <c r="FR30" s="39">
        <v>630</v>
      </c>
      <c r="FS30" s="39">
        <v>598</v>
      </c>
      <c r="FT30" s="39">
        <v>618</v>
      </c>
      <c r="FU30" s="39">
        <v>622</v>
      </c>
      <c r="FV30" s="39">
        <v>626</v>
      </c>
      <c r="FW30" s="39">
        <v>608</v>
      </c>
      <c r="FX30" s="39">
        <v>615</v>
      </c>
      <c r="FY30" s="39">
        <v>639</v>
      </c>
      <c r="FZ30" s="39">
        <v>704</v>
      </c>
      <c r="GA30" s="39">
        <v>495</v>
      </c>
      <c r="GB30" s="39">
        <v>469</v>
      </c>
      <c r="GC30" s="39">
        <v>438</v>
      </c>
      <c r="GD30" s="39">
        <v>397</v>
      </c>
      <c r="GE30" s="39">
        <v>387</v>
      </c>
      <c r="GF30" s="39">
        <v>362</v>
      </c>
      <c r="GG30" s="39">
        <v>344</v>
      </c>
      <c r="GH30" s="39">
        <v>295</v>
      </c>
      <c r="GI30" s="39">
        <v>258</v>
      </c>
      <c r="GJ30" s="39">
        <v>261</v>
      </c>
      <c r="GK30" s="39">
        <v>241</v>
      </c>
      <c r="GL30" s="39">
        <v>216</v>
      </c>
      <c r="GM30" s="39">
        <v>173</v>
      </c>
      <c r="GN30" s="40">
        <v>573</v>
      </c>
    </row>
    <row r="31" spans="1:196" s="1" customFormat="1" x14ac:dyDescent="0.2">
      <c r="A31" s="41" t="s">
        <v>1039</v>
      </c>
      <c r="B31" s="284" t="s">
        <v>998</v>
      </c>
      <c r="C31" s="24" t="str">
        <f t="shared" si="10"/>
        <v>Council area - City of Edinburgh</v>
      </c>
      <c r="D31" s="32">
        <f t="shared" si="17"/>
        <v>241399</v>
      </c>
      <c r="E31" s="32">
        <f t="shared" si="17"/>
        <v>259993</v>
      </c>
      <c r="F31" s="33">
        <f t="shared" si="18"/>
        <v>523250</v>
      </c>
      <c r="G31" s="33">
        <f t="shared" si="19"/>
        <v>252502</v>
      </c>
      <c r="H31" s="34">
        <f t="shared" si="20"/>
        <v>270748</v>
      </c>
      <c r="I31" s="390">
        <f t="shared" si="13"/>
        <v>241399</v>
      </c>
      <c r="J31" s="34">
        <f t="shared" si="14"/>
        <v>259993</v>
      </c>
      <c r="K31" s="55">
        <f t="shared" si="11"/>
        <v>30224</v>
      </c>
      <c r="L31" s="32">
        <f t="shared" si="12"/>
        <v>28468</v>
      </c>
      <c r="M31" s="55">
        <f t="shared" si="15"/>
        <v>223877</v>
      </c>
      <c r="N31" s="32">
        <f t="shared" si="16"/>
        <v>243671</v>
      </c>
      <c r="O31" s="924">
        <v>2200</v>
      </c>
      <c r="P31" s="924">
        <v>2254</v>
      </c>
      <c r="Q31" s="924">
        <v>2271</v>
      </c>
      <c r="R31" s="924">
        <v>2162</v>
      </c>
      <c r="S31" s="924">
        <v>2216</v>
      </c>
      <c r="T31" s="924">
        <v>2338</v>
      </c>
      <c r="U31" s="924">
        <v>2313</v>
      </c>
      <c r="V31" s="924">
        <v>2485</v>
      </c>
      <c r="W31" s="924">
        <v>2491</v>
      </c>
      <c r="X31" s="924">
        <v>2581</v>
      </c>
      <c r="Y31" s="924">
        <v>2702</v>
      </c>
      <c r="Z31" s="924">
        <v>2612</v>
      </c>
      <c r="AA31" s="924">
        <v>2537</v>
      </c>
      <c r="AB31" s="924">
        <v>2550</v>
      </c>
      <c r="AC31" s="924">
        <v>2593</v>
      </c>
      <c r="AD31" s="924">
        <v>2534</v>
      </c>
      <c r="AE31" s="924">
        <v>2488</v>
      </c>
      <c r="AF31" s="924">
        <v>2369</v>
      </c>
      <c r="AG31" s="924">
        <v>2458</v>
      </c>
      <c r="AH31" s="924">
        <v>3767</v>
      </c>
      <c r="AI31" s="924">
        <v>4760</v>
      </c>
      <c r="AJ31" s="924">
        <v>4818</v>
      </c>
      <c r="AK31" s="924">
        <v>4885</v>
      </c>
      <c r="AL31" s="924">
        <v>5235</v>
      </c>
      <c r="AM31" s="924">
        <v>5003</v>
      </c>
      <c r="AN31" s="924">
        <v>4563</v>
      </c>
      <c r="AO31" s="924">
        <v>4523</v>
      </c>
      <c r="AP31" s="924">
        <v>4375</v>
      </c>
      <c r="AQ31" s="924">
        <v>4466</v>
      </c>
      <c r="AR31" s="924">
        <v>4478</v>
      </c>
      <c r="AS31" s="924">
        <v>4330</v>
      </c>
      <c r="AT31" s="924">
        <v>4249</v>
      </c>
      <c r="AU31" s="924">
        <v>4599</v>
      </c>
      <c r="AV31" s="924">
        <v>4225</v>
      </c>
      <c r="AW31" s="924">
        <v>4152</v>
      </c>
      <c r="AX31" s="924">
        <v>4103</v>
      </c>
      <c r="AY31" s="924">
        <v>4016</v>
      </c>
      <c r="AZ31" s="924">
        <v>3835</v>
      </c>
      <c r="BA31" s="924">
        <v>3645</v>
      </c>
      <c r="BB31" s="924">
        <v>3599</v>
      </c>
      <c r="BC31" s="924">
        <v>3692</v>
      </c>
      <c r="BD31" s="924">
        <v>3532</v>
      </c>
      <c r="BE31" s="924">
        <v>3507</v>
      </c>
      <c r="BF31" s="924">
        <v>3671</v>
      </c>
      <c r="BG31" s="924">
        <v>3394</v>
      </c>
      <c r="BH31" s="924">
        <v>3044</v>
      </c>
      <c r="BI31" s="924">
        <v>2978</v>
      </c>
      <c r="BJ31" s="924">
        <v>3031</v>
      </c>
      <c r="BK31" s="924">
        <v>3016</v>
      </c>
      <c r="BL31" s="924">
        <v>3024</v>
      </c>
      <c r="BM31" s="924">
        <v>2962</v>
      </c>
      <c r="BN31" s="924">
        <v>3029</v>
      </c>
      <c r="BO31" s="924">
        <v>3133</v>
      </c>
      <c r="BP31" s="924">
        <v>2970</v>
      </c>
      <c r="BQ31" s="924">
        <v>3118</v>
      </c>
      <c r="BR31" s="924">
        <v>3104</v>
      </c>
      <c r="BS31" s="924">
        <v>3070</v>
      </c>
      <c r="BT31" s="924">
        <v>2979</v>
      </c>
      <c r="BU31" s="924">
        <v>3132</v>
      </c>
      <c r="BV31" s="924">
        <v>2948</v>
      </c>
      <c r="BW31" s="924">
        <v>3041</v>
      </c>
      <c r="BX31" s="924">
        <v>2782</v>
      </c>
      <c r="BY31" s="924">
        <v>2778</v>
      </c>
      <c r="BZ31" s="924">
        <v>2663</v>
      </c>
      <c r="CA31" s="924">
        <v>2624</v>
      </c>
      <c r="CB31" s="924">
        <v>2575</v>
      </c>
      <c r="CC31" s="924">
        <v>2408</v>
      </c>
      <c r="CD31" s="924">
        <v>2285</v>
      </c>
      <c r="CE31" s="924">
        <v>2097</v>
      </c>
      <c r="CF31" s="924">
        <v>2092</v>
      </c>
      <c r="CG31" s="924">
        <v>2011</v>
      </c>
      <c r="CH31" s="924">
        <v>1984</v>
      </c>
      <c r="CI31" s="924">
        <v>1889</v>
      </c>
      <c r="CJ31" s="924">
        <v>1866</v>
      </c>
      <c r="CK31" s="924">
        <v>1870</v>
      </c>
      <c r="CL31" s="924">
        <v>1819</v>
      </c>
      <c r="CM31" s="924">
        <v>1986</v>
      </c>
      <c r="CN31" s="924">
        <v>1388</v>
      </c>
      <c r="CO31" s="924">
        <v>1314</v>
      </c>
      <c r="CP31" s="924">
        <v>1207</v>
      </c>
      <c r="CQ31" s="924">
        <v>1106</v>
      </c>
      <c r="CR31" s="924">
        <v>975</v>
      </c>
      <c r="CS31" s="924">
        <v>832</v>
      </c>
      <c r="CT31" s="924">
        <v>793</v>
      </c>
      <c r="CU31" s="924">
        <v>749</v>
      </c>
      <c r="CV31" s="924">
        <v>682</v>
      </c>
      <c r="CW31" s="924">
        <v>591</v>
      </c>
      <c r="CX31" s="924">
        <v>536</v>
      </c>
      <c r="CY31" s="924">
        <v>515</v>
      </c>
      <c r="CZ31" s="924">
        <v>449</v>
      </c>
      <c r="DA31" s="926">
        <v>1481</v>
      </c>
      <c r="DB31" s="39">
        <v>2007</v>
      </c>
      <c r="DC31" s="39">
        <v>2171</v>
      </c>
      <c r="DD31" s="39">
        <v>2238</v>
      </c>
      <c r="DE31" s="39">
        <v>2214</v>
      </c>
      <c r="DF31" s="39">
        <v>2125</v>
      </c>
      <c r="DG31" s="39">
        <v>2214</v>
      </c>
      <c r="DH31" s="39">
        <v>2271</v>
      </c>
      <c r="DI31" s="39">
        <v>2226</v>
      </c>
      <c r="DJ31" s="39">
        <v>2336</v>
      </c>
      <c r="DK31" s="39">
        <v>2398</v>
      </c>
      <c r="DL31" s="39">
        <v>2385</v>
      </c>
      <c r="DM31" s="39">
        <v>2492</v>
      </c>
      <c r="DN31" s="39">
        <v>2425</v>
      </c>
      <c r="DO31" s="39">
        <v>2460</v>
      </c>
      <c r="DP31" s="39">
        <v>2486</v>
      </c>
      <c r="DQ31" s="39">
        <v>2474</v>
      </c>
      <c r="DR31" s="39">
        <v>2301</v>
      </c>
      <c r="DS31" s="39">
        <v>2216</v>
      </c>
      <c r="DT31" s="39">
        <v>2433</v>
      </c>
      <c r="DU31" s="39">
        <v>4444</v>
      </c>
      <c r="DV31" s="39">
        <v>5743</v>
      </c>
      <c r="DW31" s="39">
        <v>5881</v>
      </c>
      <c r="DX31" s="39">
        <v>5923</v>
      </c>
      <c r="DY31" s="39">
        <v>6598</v>
      </c>
      <c r="DZ31" s="39">
        <v>6177</v>
      </c>
      <c r="EA31" s="39">
        <v>5349</v>
      </c>
      <c r="EB31" s="39">
        <v>4914</v>
      </c>
      <c r="EC31" s="39">
        <v>4701</v>
      </c>
      <c r="ED31" s="39">
        <v>4682</v>
      </c>
      <c r="EE31" s="39">
        <v>4769</v>
      </c>
      <c r="EF31" s="39">
        <v>4617</v>
      </c>
      <c r="EG31" s="39">
        <v>4554</v>
      </c>
      <c r="EH31" s="39">
        <v>4591</v>
      </c>
      <c r="EI31" s="39">
        <v>4328</v>
      </c>
      <c r="EJ31" s="39">
        <v>4422</v>
      </c>
      <c r="EK31" s="39">
        <v>4114</v>
      </c>
      <c r="EL31" s="39">
        <v>4052</v>
      </c>
      <c r="EM31" s="39">
        <v>3980</v>
      </c>
      <c r="EN31" s="39">
        <v>3930</v>
      </c>
      <c r="EO31" s="39">
        <v>3819</v>
      </c>
      <c r="EP31" s="39">
        <v>3739</v>
      </c>
      <c r="EQ31" s="39">
        <v>3701</v>
      </c>
      <c r="ER31" s="39">
        <v>3572</v>
      </c>
      <c r="ES31" s="39">
        <v>3561</v>
      </c>
      <c r="ET31" s="39">
        <v>3300</v>
      </c>
      <c r="EU31" s="39">
        <v>3240</v>
      </c>
      <c r="EV31" s="39">
        <v>3096</v>
      </c>
      <c r="EW31" s="39">
        <v>3093</v>
      </c>
      <c r="EX31" s="39">
        <v>2993</v>
      </c>
      <c r="EY31" s="39">
        <v>2934</v>
      </c>
      <c r="EZ31" s="39">
        <v>3009</v>
      </c>
      <c r="FA31" s="39">
        <v>3155</v>
      </c>
      <c r="FB31" s="39">
        <v>3203</v>
      </c>
      <c r="FC31" s="39">
        <v>3034</v>
      </c>
      <c r="FD31" s="39">
        <v>3153</v>
      </c>
      <c r="FE31" s="39">
        <v>3185</v>
      </c>
      <c r="FF31" s="39">
        <v>3104</v>
      </c>
      <c r="FG31" s="39">
        <v>3107</v>
      </c>
      <c r="FH31" s="39">
        <v>3168</v>
      </c>
      <c r="FI31" s="39">
        <v>3215</v>
      </c>
      <c r="FJ31" s="39">
        <v>3115</v>
      </c>
      <c r="FK31" s="39">
        <v>2926</v>
      </c>
      <c r="FL31" s="39">
        <v>2917</v>
      </c>
      <c r="FM31" s="39">
        <v>2832</v>
      </c>
      <c r="FN31" s="39">
        <v>2734</v>
      </c>
      <c r="FO31" s="39">
        <v>2721</v>
      </c>
      <c r="FP31" s="39">
        <v>2601</v>
      </c>
      <c r="FQ31" s="39">
        <v>2376</v>
      </c>
      <c r="FR31" s="39">
        <v>2309</v>
      </c>
      <c r="FS31" s="39">
        <v>2289</v>
      </c>
      <c r="FT31" s="39">
        <v>2240</v>
      </c>
      <c r="FU31" s="39">
        <v>2133</v>
      </c>
      <c r="FV31" s="39">
        <v>2144</v>
      </c>
      <c r="FW31" s="39">
        <v>2204</v>
      </c>
      <c r="FX31" s="39">
        <v>2156</v>
      </c>
      <c r="FY31" s="39">
        <v>2132</v>
      </c>
      <c r="FZ31" s="39">
        <v>2346</v>
      </c>
      <c r="GA31" s="39">
        <v>1734</v>
      </c>
      <c r="GB31" s="39">
        <v>1556</v>
      </c>
      <c r="GC31" s="39">
        <v>1523</v>
      </c>
      <c r="GD31" s="39">
        <v>1478</v>
      </c>
      <c r="GE31" s="39">
        <v>1318</v>
      </c>
      <c r="GF31" s="39">
        <v>1259</v>
      </c>
      <c r="GG31" s="39">
        <v>1181</v>
      </c>
      <c r="GH31" s="39">
        <v>1112</v>
      </c>
      <c r="GI31" s="39">
        <v>1119</v>
      </c>
      <c r="GJ31" s="39">
        <v>939</v>
      </c>
      <c r="GK31" s="39">
        <v>887</v>
      </c>
      <c r="GL31" s="39">
        <v>768</v>
      </c>
      <c r="GM31" s="39">
        <v>759</v>
      </c>
      <c r="GN31" s="40">
        <v>2918</v>
      </c>
    </row>
    <row r="32" spans="1:196" s="1" customFormat="1" x14ac:dyDescent="0.2">
      <c r="A32" s="41" t="s">
        <v>1039</v>
      </c>
      <c r="B32" s="284" t="s">
        <v>999</v>
      </c>
      <c r="C32" s="24" t="str">
        <f t="shared" si="10"/>
        <v>Council area - Clackmannanshire</v>
      </c>
      <c r="D32" s="32">
        <f t="shared" si="17"/>
        <v>24213</v>
      </c>
      <c r="E32" s="32">
        <f t="shared" si="17"/>
        <v>25450</v>
      </c>
      <c r="F32" s="33">
        <f t="shared" si="18"/>
        <v>51940</v>
      </c>
      <c r="G32" s="33">
        <f t="shared" si="19"/>
        <v>25422</v>
      </c>
      <c r="H32" s="34">
        <f t="shared" si="20"/>
        <v>26518</v>
      </c>
      <c r="I32" s="390">
        <f t="shared" si="13"/>
        <v>24213</v>
      </c>
      <c r="J32" s="34">
        <f t="shared" si="14"/>
        <v>25450</v>
      </c>
      <c r="K32" s="55">
        <f t="shared" si="11"/>
        <v>3651</v>
      </c>
      <c r="L32" s="32">
        <f t="shared" si="12"/>
        <v>3411</v>
      </c>
      <c r="M32" s="55">
        <f t="shared" si="15"/>
        <v>22172</v>
      </c>
      <c r="N32" s="32">
        <f t="shared" si="16"/>
        <v>23588</v>
      </c>
      <c r="O32" s="924">
        <v>228</v>
      </c>
      <c r="P32" s="924">
        <v>260</v>
      </c>
      <c r="Q32" s="924">
        <v>233</v>
      </c>
      <c r="R32" s="924">
        <v>221</v>
      </c>
      <c r="S32" s="924">
        <v>267</v>
      </c>
      <c r="T32" s="924">
        <v>280</v>
      </c>
      <c r="U32" s="924">
        <v>248</v>
      </c>
      <c r="V32" s="924">
        <v>285</v>
      </c>
      <c r="W32" s="924">
        <v>302</v>
      </c>
      <c r="X32" s="924">
        <v>279</v>
      </c>
      <c r="Y32" s="924">
        <v>315</v>
      </c>
      <c r="Z32" s="924">
        <v>332</v>
      </c>
      <c r="AA32" s="924">
        <v>301</v>
      </c>
      <c r="AB32" s="924">
        <v>287</v>
      </c>
      <c r="AC32" s="924">
        <v>345</v>
      </c>
      <c r="AD32" s="924">
        <v>351</v>
      </c>
      <c r="AE32" s="924">
        <v>326</v>
      </c>
      <c r="AF32" s="924">
        <v>330</v>
      </c>
      <c r="AG32" s="924">
        <v>305</v>
      </c>
      <c r="AH32" s="924">
        <v>270</v>
      </c>
      <c r="AI32" s="924">
        <v>205</v>
      </c>
      <c r="AJ32" s="924">
        <v>238</v>
      </c>
      <c r="AK32" s="924">
        <v>240</v>
      </c>
      <c r="AL32" s="924">
        <v>278</v>
      </c>
      <c r="AM32" s="924">
        <v>256</v>
      </c>
      <c r="AN32" s="924">
        <v>258</v>
      </c>
      <c r="AO32" s="924">
        <v>250</v>
      </c>
      <c r="AP32" s="924">
        <v>264</v>
      </c>
      <c r="AQ32" s="924">
        <v>294</v>
      </c>
      <c r="AR32" s="924">
        <v>263</v>
      </c>
      <c r="AS32" s="924">
        <v>348</v>
      </c>
      <c r="AT32" s="924">
        <v>323</v>
      </c>
      <c r="AU32" s="924">
        <v>322</v>
      </c>
      <c r="AV32" s="924">
        <v>283</v>
      </c>
      <c r="AW32" s="924">
        <v>314</v>
      </c>
      <c r="AX32" s="924">
        <v>351</v>
      </c>
      <c r="AY32" s="924">
        <v>307</v>
      </c>
      <c r="AZ32" s="924">
        <v>325</v>
      </c>
      <c r="BA32" s="924">
        <v>291</v>
      </c>
      <c r="BB32" s="924">
        <v>315</v>
      </c>
      <c r="BC32" s="924">
        <v>305</v>
      </c>
      <c r="BD32" s="924">
        <v>312</v>
      </c>
      <c r="BE32" s="924">
        <v>310</v>
      </c>
      <c r="BF32" s="924">
        <v>294</v>
      </c>
      <c r="BG32" s="924">
        <v>283</v>
      </c>
      <c r="BH32" s="924">
        <v>275</v>
      </c>
      <c r="BI32" s="924">
        <v>278</v>
      </c>
      <c r="BJ32" s="924">
        <v>307</v>
      </c>
      <c r="BK32" s="924">
        <v>341</v>
      </c>
      <c r="BL32" s="924">
        <v>301</v>
      </c>
      <c r="BM32" s="924">
        <v>382</v>
      </c>
      <c r="BN32" s="924">
        <v>366</v>
      </c>
      <c r="BO32" s="924">
        <v>397</v>
      </c>
      <c r="BP32" s="924">
        <v>429</v>
      </c>
      <c r="BQ32" s="924">
        <v>433</v>
      </c>
      <c r="BR32" s="924">
        <v>415</v>
      </c>
      <c r="BS32" s="924">
        <v>396</v>
      </c>
      <c r="BT32" s="924">
        <v>364</v>
      </c>
      <c r="BU32" s="924">
        <v>440</v>
      </c>
      <c r="BV32" s="924">
        <v>429</v>
      </c>
      <c r="BW32" s="924">
        <v>390</v>
      </c>
      <c r="BX32" s="924">
        <v>397</v>
      </c>
      <c r="BY32" s="924">
        <v>367</v>
      </c>
      <c r="BZ32" s="924">
        <v>350</v>
      </c>
      <c r="CA32" s="924">
        <v>356</v>
      </c>
      <c r="CB32" s="924">
        <v>293</v>
      </c>
      <c r="CC32" s="924">
        <v>321</v>
      </c>
      <c r="CD32" s="924">
        <v>275</v>
      </c>
      <c r="CE32" s="924">
        <v>307</v>
      </c>
      <c r="CF32" s="924">
        <v>290</v>
      </c>
      <c r="CG32" s="924">
        <v>292</v>
      </c>
      <c r="CH32" s="924">
        <v>290</v>
      </c>
      <c r="CI32" s="924">
        <v>255</v>
      </c>
      <c r="CJ32" s="924">
        <v>271</v>
      </c>
      <c r="CK32" s="924">
        <v>301</v>
      </c>
      <c r="CL32" s="924">
        <v>274</v>
      </c>
      <c r="CM32" s="924">
        <v>288</v>
      </c>
      <c r="CN32" s="924">
        <v>220</v>
      </c>
      <c r="CO32" s="924">
        <v>200</v>
      </c>
      <c r="CP32" s="924">
        <v>175</v>
      </c>
      <c r="CQ32" s="924">
        <v>149</v>
      </c>
      <c r="CR32" s="924">
        <v>118</v>
      </c>
      <c r="CS32" s="924">
        <v>110</v>
      </c>
      <c r="CT32" s="924">
        <v>97</v>
      </c>
      <c r="CU32" s="924">
        <v>89</v>
      </c>
      <c r="CV32" s="924">
        <v>83</v>
      </c>
      <c r="CW32" s="924">
        <v>69</v>
      </c>
      <c r="CX32" s="924">
        <v>55</v>
      </c>
      <c r="CY32" s="924">
        <v>52</v>
      </c>
      <c r="CZ32" s="924">
        <v>25</v>
      </c>
      <c r="DA32" s="926">
        <v>116</v>
      </c>
      <c r="DB32" s="39">
        <v>217</v>
      </c>
      <c r="DC32" s="39">
        <v>209</v>
      </c>
      <c r="DD32" s="39">
        <v>225</v>
      </c>
      <c r="DE32" s="39">
        <v>221</v>
      </c>
      <c r="DF32" s="39">
        <v>196</v>
      </c>
      <c r="DG32" s="39">
        <v>246</v>
      </c>
      <c r="DH32" s="39">
        <v>266</v>
      </c>
      <c r="DI32" s="39">
        <v>249</v>
      </c>
      <c r="DJ32" s="39">
        <v>259</v>
      </c>
      <c r="DK32" s="39">
        <v>245</v>
      </c>
      <c r="DL32" s="39">
        <v>288</v>
      </c>
      <c r="DM32" s="39">
        <v>309</v>
      </c>
      <c r="DN32" s="39">
        <v>314</v>
      </c>
      <c r="DO32" s="39">
        <v>319</v>
      </c>
      <c r="DP32" s="39">
        <v>308</v>
      </c>
      <c r="DQ32" s="39">
        <v>314</v>
      </c>
      <c r="DR32" s="39">
        <v>294</v>
      </c>
      <c r="DS32" s="39">
        <v>314</v>
      </c>
      <c r="DT32" s="39">
        <v>266</v>
      </c>
      <c r="DU32" s="39">
        <v>245</v>
      </c>
      <c r="DV32" s="39">
        <v>214</v>
      </c>
      <c r="DW32" s="39">
        <v>212</v>
      </c>
      <c r="DX32" s="39">
        <v>265</v>
      </c>
      <c r="DY32" s="39">
        <v>273</v>
      </c>
      <c r="DZ32" s="39">
        <v>275</v>
      </c>
      <c r="EA32" s="39">
        <v>265</v>
      </c>
      <c r="EB32" s="39">
        <v>285</v>
      </c>
      <c r="EC32" s="39">
        <v>301</v>
      </c>
      <c r="ED32" s="39">
        <v>300</v>
      </c>
      <c r="EE32" s="39">
        <v>287</v>
      </c>
      <c r="EF32" s="39">
        <v>323</v>
      </c>
      <c r="EG32" s="39">
        <v>350</v>
      </c>
      <c r="EH32" s="39">
        <v>356</v>
      </c>
      <c r="EI32" s="39">
        <v>336</v>
      </c>
      <c r="EJ32" s="39">
        <v>301</v>
      </c>
      <c r="EK32" s="39">
        <v>326</v>
      </c>
      <c r="EL32" s="39">
        <v>337</v>
      </c>
      <c r="EM32" s="39">
        <v>287</v>
      </c>
      <c r="EN32" s="39">
        <v>338</v>
      </c>
      <c r="EO32" s="39">
        <v>292</v>
      </c>
      <c r="EP32" s="39">
        <v>304</v>
      </c>
      <c r="EQ32" s="39">
        <v>336</v>
      </c>
      <c r="ER32" s="39">
        <v>328</v>
      </c>
      <c r="ES32" s="39">
        <v>314</v>
      </c>
      <c r="ET32" s="39">
        <v>315</v>
      </c>
      <c r="EU32" s="39">
        <v>314</v>
      </c>
      <c r="EV32" s="39">
        <v>305</v>
      </c>
      <c r="EW32" s="39">
        <v>318</v>
      </c>
      <c r="EX32" s="39">
        <v>328</v>
      </c>
      <c r="EY32" s="39">
        <v>324</v>
      </c>
      <c r="EZ32" s="39">
        <v>391</v>
      </c>
      <c r="FA32" s="39">
        <v>402</v>
      </c>
      <c r="FB32" s="39">
        <v>391</v>
      </c>
      <c r="FC32" s="39">
        <v>416</v>
      </c>
      <c r="FD32" s="39">
        <v>410</v>
      </c>
      <c r="FE32" s="39">
        <v>436</v>
      </c>
      <c r="FF32" s="39">
        <v>468</v>
      </c>
      <c r="FG32" s="39">
        <v>408</v>
      </c>
      <c r="FH32" s="39">
        <v>439</v>
      </c>
      <c r="FI32" s="39">
        <v>431</v>
      </c>
      <c r="FJ32" s="39">
        <v>439</v>
      </c>
      <c r="FK32" s="39">
        <v>400</v>
      </c>
      <c r="FL32" s="39">
        <v>393</v>
      </c>
      <c r="FM32" s="39">
        <v>385</v>
      </c>
      <c r="FN32" s="39">
        <v>364</v>
      </c>
      <c r="FO32" s="39">
        <v>354</v>
      </c>
      <c r="FP32" s="39">
        <v>345</v>
      </c>
      <c r="FQ32" s="39">
        <v>326</v>
      </c>
      <c r="FR32" s="39">
        <v>349</v>
      </c>
      <c r="FS32" s="39">
        <v>337</v>
      </c>
      <c r="FT32" s="39">
        <v>293</v>
      </c>
      <c r="FU32" s="39">
        <v>278</v>
      </c>
      <c r="FV32" s="39">
        <v>312</v>
      </c>
      <c r="FW32" s="39">
        <v>300</v>
      </c>
      <c r="FX32" s="39">
        <v>299</v>
      </c>
      <c r="FY32" s="39">
        <v>321</v>
      </c>
      <c r="FZ32" s="39">
        <v>320</v>
      </c>
      <c r="GA32" s="39">
        <v>210</v>
      </c>
      <c r="GB32" s="39">
        <v>247</v>
      </c>
      <c r="GC32" s="39">
        <v>227</v>
      </c>
      <c r="GD32" s="39">
        <v>214</v>
      </c>
      <c r="GE32" s="39">
        <v>173</v>
      </c>
      <c r="GF32" s="39">
        <v>156</v>
      </c>
      <c r="GG32" s="39">
        <v>119</v>
      </c>
      <c r="GH32" s="39">
        <v>126</v>
      </c>
      <c r="GI32" s="39">
        <v>107</v>
      </c>
      <c r="GJ32" s="39">
        <v>105</v>
      </c>
      <c r="GK32" s="39">
        <v>104</v>
      </c>
      <c r="GL32" s="39">
        <v>56</v>
      </c>
      <c r="GM32" s="39">
        <v>49</v>
      </c>
      <c r="GN32" s="40">
        <v>205</v>
      </c>
    </row>
    <row r="33" spans="1:196" s="1" customFormat="1" x14ac:dyDescent="0.2">
      <c r="A33" s="41" t="s">
        <v>1039</v>
      </c>
      <c r="B33" s="284" t="s">
        <v>1000</v>
      </c>
      <c r="C33" s="24" t="str">
        <f t="shared" si="10"/>
        <v>Council area - Dumfries and Galloway</v>
      </c>
      <c r="D33" s="32">
        <f t="shared" si="17"/>
        <v>67503</v>
      </c>
      <c r="E33" s="32">
        <f t="shared" si="17"/>
        <v>72366</v>
      </c>
      <c r="F33" s="33">
        <f t="shared" si="18"/>
        <v>145670</v>
      </c>
      <c r="G33" s="33">
        <f t="shared" si="19"/>
        <v>70501</v>
      </c>
      <c r="H33" s="34">
        <f t="shared" si="20"/>
        <v>75169</v>
      </c>
      <c r="I33" s="390">
        <f t="shared" si="13"/>
        <v>67503</v>
      </c>
      <c r="J33" s="34">
        <f t="shared" si="14"/>
        <v>72366</v>
      </c>
      <c r="K33" s="55">
        <f t="shared" si="11"/>
        <v>9010</v>
      </c>
      <c r="L33" s="32">
        <f t="shared" si="12"/>
        <v>8674</v>
      </c>
      <c r="M33" s="55">
        <f t="shared" si="15"/>
        <v>62558</v>
      </c>
      <c r="N33" s="32">
        <f t="shared" si="16"/>
        <v>67655</v>
      </c>
      <c r="O33" s="924">
        <v>554</v>
      </c>
      <c r="P33" s="924">
        <v>575</v>
      </c>
      <c r="Q33" s="924">
        <v>596</v>
      </c>
      <c r="R33" s="924">
        <v>625</v>
      </c>
      <c r="S33" s="924">
        <v>648</v>
      </c>
      <c r="T33" s="924">
        <v>621</v>
      </c>
      <c r="U33" s="924">
        <v>645</v>
      </c>
      <c r="V33" s="924">
        <v>735</v>
      </c>
      <c r="W33" s="924">
        <v>697</v>
      </c>
      <c r="X33" s="924">
        <v>721</v>
      </c>
      <c r="Y33" s="924">
        <v>766</v>
      </c>
      <c r="Z33" s="924">
        <v>760</v>
      </c>
      <c r="AA33" s="924">
        <v>775</v>
      </c>
      <c r="AB33" s="924">
        <v>830</v>
      </c>
      <c r="AC33" s="924">
        <v>775</v>
      </c>
      <c r="AD33" s="924">
        <v>830</v>
      </c>
      <c r="AE33" s="924">
        <v>855</v>
      </c>
      <c r="AF33" s="924">
        <v>876</v>
      </c>
      <c r="AG33" s="924">
        <v>740</v>
      </c>
      <c r="AH33" s="924">
        <v>623</v>
      </c>
      <c r="AI33" s="924">
        <v>599</v>
      </c>
      <c r="AJ33" s="924">
        <v>593</v>
      </c>
      <c r="AK33" s="924">
        <v>580</v>
      </c>
      <c r="AL33" s="924">
        <v>626</v>
      </c>
      <c r="AM33" s="924">
        <v>703</v>
      </c>
      <c r="AN33" s="924">
        <v>661</v>
      </c>
      <c r="AO33" s="924">
        <v>656</v>
      </c>
      <c r="AP33" s="924">
        <v>653</v>
      </c>
      <c r="AQ33" s="924">
        <v>660</v>
      </c>
      <c r="AR33" s="924">
        <v>652</v>
      </c>
      <c r="AS33" s="924">
        <v>670</v>
      </c>
      <c r="AT33" s="924">
        <v>692</v>
      </c>
      <c r="AU33" s="924">
        <v>713</v>
      </c>
      <c r="AV33" s="924">
        <v>730</v>
      </c>
      <c r="AW33" s="924">
        <v>727</v>
      </c>
      <c r="AX33" s="924">
        <v>758</v>
      </c>
      <c r="AY33" s="924">
        <v>742</v>
      </c>
      <c r="AZ33" s="924">
        <v>691</v>
      </c>
      <c r="BA33" s="924">
        <v>743</v>
      </c>
      <c r="BB33" s="924">
        <v>658</v>
      </c>
      <c r="BC33" s="924">
        <v>675</v>
      </c>
      <c r="BD33" s="924">
        <v>701</v>
      </c>
      <c r="BE33" s="924">
        <v>658</v>
      </c>
      <c r="BF33" s="924">
        <v>690</v>
      </c>
      <c r="BG33" s="924">
        <v>710</v>
      </c>
      <c r="BH33" s="924">
        <v>664</v>
      </c>
      <c r="BI33" s="924">
        <v>649</v>
      </c>
      <c r="BJ33" s="924">
        <v>715</v>
      </c>
      <c r="BK33" s="924">
        <v>720</v>
      </c>
      <c r="BL33" s="924">
        <v>811</v>
      </c>
      <c r="BM33" s="924">
        <v>790</v>
      </c>
      <c r="BN33" s="924">
        <v>943</v>
      </c>
      <c r="BO33" s="924">
        <v>1030</v>
      </c>
      <c r="BP33" s="924">
        <v>1040</v>
      </c>
      <c r="BQ33" s="924">
        <v>1075</v>
      </c>
      <c r="BR33" s="924">
        <v>1086</v>
      </c>
      <c r="BS33" s="924">
        <v>1138</v>
      </c>
      <c r="BT33" s="924">
        <v>1216</v>
      </c>
      <c r="BU33" s="924">
        <v>1283</v>
      </c>
      <c r="BV33" s="924">
        <v>1248</v>
      </c>
      <c r="BW33" s="924">
        <v>1265</v>
      </c>
      <c r="BX33" s="924">
        <v>1187</v>
      </c>
      <c r="BY33" s="924">
        <v>1211</v>
      </c>
      <c r="BZ33" s="924">
        <v>1175</v>
      </c>
      <c r="CA33" s="924">
        <v>1174</v>
      </c>
      <c r="CB33" s="924">
        <v>1163</v>
      </c>
      <c r="CC33" s="924">
        <v>1067</v>
      </c>
      <c r="CD33" s="924">
        <v>1034</v>
      </c>
      <c r="CE33" s="924">
        <v>1056</v>
      </c>
      <c r="CF33" s="924">
        <v>1031</v>
      </c>
      <c r="CG33" s="924">
        <v>966</v>
      </c>
      <c r="CH33" s="924">
        <v>954</v>
      </c>
      <c r="CI33" s="924">
        <v>1003</v>
      </c>
      <c r="CJ33" s="924">
        <v>974</v>
      </c>
      <c r="CK33" s="924">
        <v>1017</v>
      </c>
      <c r="CL33" s="924">
        <v>1002</v>
      </c>
      <c r="CM33" s="924">
        <v>979</v>
      </c>
      <c r="CN33" s="924">
        <v>738</v>
      </c>
      <c r="CO33" s="924">
        <v>695</v>
      </c>
      <c r="CP33" s="924">
        <v>677</v>
      </c>
      <c r="CQ33" s="924">
        <v>615</v>
      </c>
      <c r="CR33" s="924">
        <v>598</v>
      </c>
      <c r="CS33" s="924">
        <v>499</v>
      </c>
      <c r="CT33" s="924">
        <v>440</v>
      </c>
      <c r="CU33" s="924">
        <v>388</v>
      </c>
      <c r="CV33" s="924">
        <v>385</v>
      </c>
      <c r="CW33" s="924">
        <v>313</v>
      </c>
      <c r="CX33" s="924">
        <v>302</v>
      </c>
      <c r="CY33" s="924">
        <v>225</v>
      </c>
      <c r="CZ33" s="924">
        <v>198</v>
      </c>
      <c r="DA33" s="926">
        <v>574</v>
      </c>
      <c r="DB33" s="39">
        <v>515</v>
      </c>
      <c r="DC33" s="39">
        <v>526</v>
      </c>
      <c r="DD33" s="39">
        <v>564</v>
      </c>
      <c r="DE33" s="39">
        <v>548</v>
      </c>
      <c r="DF33" s="39">
        <v>650</v>
      </c>
      <c r="DG33" s="39">
        <v>655</v>
      </c>
      <c r="DH33" s="39">
        <v>621</v>
      </c>
      <c r="DI33" s="39">
        <v>670</v>
      </c>
      <c r="DJ33" s="39">
        <v>672</v>
      </c>
      <c r="DK33" s="39">
        <v>643</v>
      </c>
      <c r="DL33" s="39">
        <v>716</v>
      </c>
      <c r="DM33" s="39">
        <v>734</v>
      </c>
      <c r="DN33" s="39">
        <v>795</v>
      </c>
      <c r="DO33" s="39">
        <v>797</v>
      </c>
      <c r="DP33" s="39">
        <v>773</v>
      </c>
      <c r="DQ33" s="39">
        <v>823</v>
      </c>
      <c r="DR33" s="39">
        <v>775</v>
      </c>
      <c r="DS33" s="39">
        <v>781</v>
      </c>
      <c r="DT33" s="39">
        <v>691</v>
      </c>
      <c r="DU33" s="39">
        <v>548</v>
      </c>
      <c r="DV33" s="39">
        <v>488</v>
      </c>
      <c r="DW33" s="39">
        <v>510</v>
      </c>
      <c r="DX33" s="39">
        <v>581</v>
      </c>
      <c r="DY33" s="39">
        <v>626</v>
      </c>
      <c r="DZ33" s="39">
        <v>609</v>
      </c>
      <c r="EA33" s="39">
        <v>676</v>
      </c>
      <c r="EB33" s="39">
        <v>680</v>
      </c>
      <c r="EC33" s="39">
        <v>652</v>
      </c>
      <c r="ED33" s="39">
        <v>719</v>
      </c>
      <c r="EE33" s="39">
        <v>692</v>
      </c>
      <c r="EF33" s="39">
        <v>760</v>
      </c>
      <c r="EG33" s="39">
        <v>809</v>
      </c>
      <c r="EH33" s="39">
        <v>772</v>
      </c>
      <c r="EI33" s="39">
        <v>779</v>
      </c>
      <c r="EJ33" s="39">
        <v>771</v>
      </c>
      <c r="EK33" s="39">
        <v>855</v>
      </c>
      <c r="EL33" s="39">
        <v>792</v>
      </c>
      <c r="EM33" s="39">
        <v>752</v>
      </c>
      <c r="EN33" s="39">
        <v>776</v>
      </c>
      <c r="EO33" s="39">
        <v>774</v>
      </c>
      <c r="EP33" s="39">
        <v>803</v>
      </c>
      <c r="EQ33" s="39">
        <v>845</v>
      </c>
      <c r="ER33" s="39">
        <v>782</v>
      </c>
      <c r="ES33" s="39">
        <v>780</v>
      </c>
      <c r="ET33" s="39">
        <v>791</v>
      </c>
      <c r="EU33" s="39">
        <v>754</v>
      </c>
      <c r="EV33" s="39">
        <v>686</v>
      </c>
      <c r="EW33" s="39">
        <v>801</v>
      </c>
      <c r="EX33" s="39">
        <v>840</v>
      </c>
      <c r="EY33" s="39">
        <v>897</v>
      </c>
      <c r="EZ33" s="39">
        <v>930</v>
      </c>
      <c r="FA33" s="39">
        <v>998</v>
      </c>
      <c r="FB33" s="39">
        <v>1121</v>
      </c>
      <c r="FC33" s="39">
        <v>1136</v>
      </c>
      <c r="FD33" s="39">
        <v>1228</v>
      </c>
      <c r="FE33" s="39">
        <v>1243</v>
      </c>
      <c r="FF33" s="39">
        <v>1271</v>
      </c>
      <c r="FG33" s="39">
        <v>1224</v>
      </c>
      <c r="FH33" s="39">
        <v>1325</v>
      </c>
      <c r="FI33" s="39">
        <v>1397</v>
      </c>
      <c r="FJ33" s="39">
        <v>1353</v>
      </c>
      <c r="FK33" s="39">
        <v>1298</v>
      </c>
      <c r="FL33" s="39">
        <v>1267</v>
      </c>
      <c r="FM33" s="39">
        <v>1271</v>
      </c>
      <c r="FN33" s="39">
        <v>1172</v>
      </c>
      <c r="FO33" s="39">
        <v>1192</v>
      </c>
      <c r="FP33" s="39">
        <v>1128</v>
      </c>
      <c r="FQ33" s="39">
        <v>1167</v>
      </c>
      <c r="FR33" s="39">
        <v>1086</v>
      </c>
      <c r="FS33" s="39">
        <v>1041</v>
      </c>
      <c r="FT33" s="39">
        <v>1062</v>
      </c>
      <c r="FU33" s="39">
        <v>1047</v>
      </c>
      <c r="FV33" s="39">
        <v>1014</v>
      </c>
      <c r="FW33" s="39">
        <v>1027</v>
      </c>
      <c r="FX33" s="39">
        <v>986</v>
      </c>
      <c r="FY33" s="39">
        <v>1042</v>
      </c>
      <c r="FZ33" s="39">
        <v>1153</v>
      </c>
      <c r="GA33" s="39">
        <v>859</v>
      </c>
      <c r="GB33" s="39">
        <v>806</v>
      </c>
      <c r="GC33" s="39">
        <v>814</v>
      </c>
      <c r="GD33" s="39">
        <v>743</v>
      </c>
      <c r="GE33" s="39">
        <v>659</v>
      </c>
      <c r="GF33" s="39">
        <v>594</v>
      </c>
      <c r="GG33" s="39">
        <v>527</v>
      </c>
      <c r="GH33" s="39">
        <v>526</v>
      </c>
      <c r="GI33" s="39">
        <v>414</v>
      </c>
      <c r="GJ33" s="39">
        <v>450</v>
      </c>
      <c r="GK33" s="39">
        <v>383</v>
      </c>
      <c r="GL33" s="39">
        <v>337</v>
      </c>
      <c r="GM33" s="39">
        <v>276</v>
      </c>
      <c r="GN33" s="40">
        <v>1053</v>
      </c>
    </row>
    <row r="34" spans="1:196" s="1" customFormat="1" x14ac:dyDescent="0.2">
      <c r="A34" s="41" t="s">
        <v>1039</v>
      </c>
      <c r="B34" s="284" t="s">
        <v>1001</v>
      </c>
      <c r="C34" s="24" t="str">
        <f t="shared" si="10"/>
        <v>Council area - Dundee City</v>
      </c>
      <c r="D34" s="32">
        <f t="shared" si="17"/>
        <v>69805</v>
      </c>
      <c r="E34" s="32">
        <f t="shared" si="17"/>
        <v>73858</v>
      </c>
      <c r="F34" s="33">
        <f t="shared" si="18"/>
        <v>150390</v>
      </c>
      <c r="G34" s="33">
        <f t="shared" si="19"/>
        <v>73280</v>
      </c>
      <c r="H34" s="34">
        <f t="shared" si="20"/>
        <v>77110</v>
      </c>
      <c r="I34" s="390">
        <f t="shared" si="13"/>
        <v>69805</v>
      </c>
      <c r="J34" s="34">
        <f t="shared" si="14"/>
        <v>73858</v>
      </c>
      <c r="K34" s="55">
        <f t="shared" si="11"/>
        <v>9771</v>
      </c>
      <c r="L34" s="32">
        <f t="shared" si="12"/>
        <v>9014</v>
      </c>
      <c r="M34" s="55">
        <f t="shared" si="15"/>
        <v>64292</v>
      </c>
      <c r="N34" s="32">
        <f t="shared" si="16"/>
        <v>68739</v>
      </c>
      <c r="O34" s="924">
        <v>665</v>
      </c>
      <c r="P34" s="924">
        <v>657</v>
      </c>
      <c r="Q34" s="924">
        <v>718</v>
      </c>
      <c r="R34" s="924">
        <v>740</v>
      </c>
      <c r="S34" s="924">
        <v>695</v>
      </c>
      <c r="T34" s="924">
        <v>705</v>
      </c>
      <c r="U34" s="924">
        <v>779</v>
      </c>
      <c r="V34" s="924">
        <v>733</v>
      </c>
      <c r="W34" s="924">
        <v>767</v>
      </c>
      <c r="X34" s="924">
        <v>831</v>
      </c>
      <c r="Y34" s="924">
        <v>883</v>
      </c>
      <c r="Z34" s="924">
        <v>815</v>
      </c>
      <c r="AA34" s="924">
        <v>845</v>
      </c>
      <c r="AB34" s="924">
        <v>858</v>
      </c>
      <c r="AC34" s="924">
        <v>928</v>
      </c>
      <c r="AD34" s="924">
        <v>821</v>
      </c>
      <c r="AE34" s="924">
        <v>806</v>
      </c>
      <c r="AF34" s="924">
        <v>759</v>
      </c>
      <c r="AG34" s="924">
        <v>792</v>
      </c>
      <c r="AH34" s="924">
        <v>1148</v>
      </c>
      <c r="AI34" s="924">
        <v>1605</v>
      </c>
      <c r="AJ34" s="924">
        <v>1517</v>
      </c>
      <c r="AK34" s="924">
        <v>1479</v>
      </c>
      <c r="AL34" s="924">
        <v>1423</v>
      </c>
      <c r="AM34" s="924">
        <v>1220</v>
      </c>
      <c r="AN34" s="924">
        <v>1243</v>
      </c>
      <c r="AO34" s="924">
        <v>1168</v>
      </c>
      <c r="AP34" s="924">
        <v>1186</v>
      </c>
      <c r="AQ34" s="924">
        <v>1070</v>
      </c>
      <c r="AR34" s="924">
        <v>1134</v>
      </c>
      <c r="AS34" s="924">
        <v>1139</v>
      </c>
      <c r="AT34" s="924">
        <v>1091</v>
      </c>
      <c r="AU34" s="924">
        <v>1115</v>
      </c>
      <c r="AV34" s="924">
        <v>1029</v>
      </c>
      <c r="AW34" s="924">
        <v>1086</v>
      </c>
      <c r="AX34" s="924">
        <v>1014</v>
      </c>
      <c r="AY34" s="924">
        <v>1042</v>
      </c>
      <c r="AZ34" s="924">
        <v>1023</v>
      </c>
      <c r="BA34" s="924">
        <v>994</v>
      </c>
      <c r="BB34" s="924">
        <v>1000</v>
      </c>
      <c r="BC34" s="924">
        <v>898</v>
      </c>
      <c r="BD34" s="924">
        <v>955</v>
      </c>
      <c r="BE34" s="924">
        <v>945</v>
      </c>
      <c r="BF34" s="924">
        <v>891</v>
      </c>
      <c r="BG34" s="924">
        <v>795</v>
      </c>
      <c r="BH34" s="924">
        <v>736</v>
      </c>
      <c r="BI34" s="924">
        <v>744</v>
      </c>
      <c r="BJ34" s="924">
        <v>766</v>
      </c>
      <c r="BK34" s="924">
        <v>734</v>
      </c>
      <c r="BL34" s="924">
        <v>756</v>
      </c>
      <c r="BM34" s="924">
        <v>744</v>
      </c>
      <c r="BN34" s="924">
        <v>804</v>
      </c>
      <c r="BO34" s="924">
        <v>896</v>
      </c>
      <c r="BP34" s="924">
        <v>822</v>
      </c>
      <c r="BQ34" s="924">
        <v>918</v>
      </c>
      <c r="BR34" s="924">
        <v>893</v>
      </c>
      <c r="BS34" s="924">
        <v>901</v>
      </c>
      <c r="BT34" s="924">
        <v>925</v>
      </c>
      <c r="BU34" s="924">
        <v>920</v>
      </c>
      <c r="BV34" s="924">
        <v>955</v>
      </c>
      <c r="BW34" s="924">
        <v>951</v>
      </c>
      <c r="BX34" s="924">
        <v>887</v>
      </c>
      <c r="BY34" s="924">
        <v>914</v>
      </c>
      <c r="BZ34" s="924">
        <v>887</v>
      </c>
      <c r="CA34" s="924">
        <v>864</v>
      </c>
      <c r="CB34" s="924">
        <v>881</v>
      </c>
      <c r="CC34" s="924">
        <v>816</v>
      </c>
      <c r="CD34" s="924">
        <v>727</v>
      </c>
      <c r="CE34" s="924">
        <v>720</v>
      </c>
      <c r="CF34" s="924">
        <v>685</v>
      </c>
      <c r="CG34" s="924">
        <v>669</v>
      </c>
      <c r="CH34" s="924">
        <v>607</v>
      </c>
      <c r="CI34" s="924">
        <v>606</v>
      </c>
      <c r="CJ34" s="924">
        <v>579</v>
      </c>
      <c r="CK34" s="924">
        <v>578</v>
      </c>
      <c r="CL34" s="924">
        <v>611</v>
      </c>
      <c r="CM34" s="924">
        <v>678</v>
      </c>
      <c r="CN34" s="924">
        <v>486</v>
      </c>
      <c r="CO34" s="924">
        <v>391</v>
      </c>
      <c r="CP34" s="924">
        <v>410</v>
      </c>
      <c r="CQ34" s="924">
        <v>340</v>
      </c>
      <c r="CR34" s="924">
        <v>325</v>
      </c>
      <c r="CS34" s="924">
        <v>268</v>
      </c>
      <c r="CT34" s="924">
        <v>302</v>
      </c>
      <c r="CU34" s="924">
        <v>267</v>
      </c>
      <c r="CV34" s="924">
        <v>222</v>
      </c>
      <c r="CW34" s="924">
        <v>178</v>
      </c>
      <c r="CX34" s="924">
        <v>194</v>
      </c>
      <c r="CY34" s="924">
        <v>169</v>
      </c>
      <c r="CZ34" s="924">
        <v>118</v>
      </c>
      <c r="DA34" s="926">
        <v>429</v>
      </c>
      <c r="DB34" s="39">
        <v>620</v>
      </c>
      <c r="DC34" s="39">
        <v>646</v>
      </c>
      <c r="DD34" s="39">
        <v>639</v>
      </c>
      <c r="DE34" s="39">
        <v>724</v>
      </c>
      <c r="DF34" s="39">
        <v>623</v>
      </c>
      <c r="DG34" s="39">
        <v>669</v>
      </c>
      <c r="DH34" s="39">
        <v>735</v>
      </c>
      <c r="DI34" s="39">
        <v>666</v>
      </c>
      <c r="DJ34" s="39">
        <v>688</v>
      </c>
      <c r="DK34" s="39">
        <v>754</v>
      </c>
      <c r="DL34" s="39">
        <v>830</v>
      </c>
      <c r="DM34" s="39">
        <v>777</v>
      </c>
      <c r="DN34" s="39">
        <v>815</v>
      </c>
      <c r="DO34" s="39">
        <v>763</v>
      </c>
      <c r="DP34" s="39">
        <v>769</v>
      </c>
      <c r="DQ34" s="39">
        <v>813</v>
      </c>
      <c r="DR34" s="39">
        <v>735</v>
      </c>
      <c r="DS34" s="39">
        <v>689</v>
      </c>
      <c r="DT34" s="39">
        <v>848</v>
      </c>
      <c r="DU34" s="39">
        <v>1318</v>
      </c>
      <c r="DV34" s="39">
        <v>1572</v>
      </c>
      <c r="DW34" s="39">
        <v>1688</v>
      </c>
      <c r="DX34" s="39">
        <v>1605</v>
      </c>
      <c r="DY34" s="39">
        <v>1534</v>
      </c>
      <c r="DZ34" s="39">
        <v>1344</v>
      </c>
      <c r="EA34" s="39">
        <v>1211</v>
      </c>
      <c r="EB34" s="39">
        <v>1213</v>
      </c>
      <c r="EC34" s="39">
        <v>1168</v>
      </c>
      <c r="ED34" s="39">
        <v>1083</v>
      </c>
      <c r="EE34" s="39">
        <v>1070</v>
      </c>
      <c r="EF34" s="39">
        <v>1108</v>
      </c>
      <c r="EG34" s="39">
        <v>1114</v>
      </c>
      <c r="EH34" s="39">
        <v>1123</v>
      </c>
      <c r="EI34" s="39">
        <v>1144</v>
      </c>
      <c r="EJ34" s="39">
        <v>1074</v>
      </c>
      <c r="EK34" s="39">
        <v>1098</v>
      </c>
      <c r="EL34" s="39">
        <v>1108</v>
      </c>
      <c r="EM34" s="39">
        <v>1081</v>
      </c>
      <c r="EN34" s="39">
        <v>1055</v>
      </c>
      <c r="EO34" s="39">
        <v>1023</v>
      </c>
      <c r="EP34" s="39">
        <v>913</v>
      </c>
      <c r="EQ34" s="39">
        <v>946</v>
      </c>
      <c r="ER34" s="39">
        <v>949</v>
      </c>
      <c r="ES34" s="39">
        <v>839</v>
      </c>
      <c r="ET34" s="39">
        <v>818</v>
      </c>
      <c r="EU34" s="39">
        <v>728</v>
      </c>
      <c r="EV34" s="39">
        <v>746</v>
      </c>
      <c r="EW34" s="39">
        <v>791</v>
      </c>
      <c r="EX34" s="39">
        <v>787</v>
      </c>
      <c r="EY34" s="39">
        <v>798</v>
      </c>
      <c r="EZ34" s="39">
        <v>812</v>
      </c>
      <c r="FA34" s="39">
        <v>866</v>
      </c>
      <c r="FB34" s="39">
        <v>911</v>
      </c>
      <c r="FC34" s="39">
        <v>911</v>
      </c>
      <c r="FD34" s="39">
        <v>898</v>
      </c>
      <c r="FE34" s="39">
        <v>991</v>
      </c>
      <c r="FF34" s="39">
        <v>985</v>
      </c>
      <c r="FG34" s="39">
        <v>984</v>
      </c>
      <c r="FH34" s="39">
        <v>1063</v>
      </c>
      <c r="FI34" s="39">
        <v>957</v>
      </c>
      <c r="FJ34" s="39">
        <v>1052</v>
      </c>
      <c r="FK34" s="39">
        <v>1018</v>
      </c>
      <c r="FL34" s="39">
        <v>1031</v>
      </c>
      <c r="FM34" s="39">
        <v>985</v>
      </c>
      <c r="FN34" s="39">
        <v>884</v>
      </c>
      <c r="FO34" s="39">
        <v>923</v>
      </c>
      <c r="FP34" s="39">
        <v>833</v>
      </c>
      <c r="FQ34" s="39">
        <v>762</v>
      </c>
      <c r="FR34" s="39">
        <v>754</v>
      </c>
      <c r="FS34" s="39">
        <v>680</v>
      </c>
      <c r="FT34" s="39">
        <v>768</v>
      </c>
      <c r="FU34" s="39">
        <v>665</v>
      </c>
      <c r="FV34" s="39">
        <v>641</v>
      </c>
      <c r="FW34" s="39">
        <v>667</v>
      </c>
      <c r="FX34" s="39">
        <v>721</v>
      </c>
      <c r="FY34" s="39">
        <v>729</v>
      </c>
      <c r="FZ34" s="39">
        <v>767</v>
      </c>
      <c r="GA34" s="39">
        <v>568</v>
      </c>
      <c r="GB34" s="39">
        <v>553</v>
      </c>
      <c r="GC34" s="39">
        <v>477</v>
      </c>
      <c r="GD34" s="39">
        <v>460</v>
      </c>
      <c r="GE34" s="39">
        <v>441</v>
      </c>
      <c r="GF34" s="39">
        <v>384</v>
      </c>
      <c r="GG34" s="39">
        <v>379</v>
      </c>
      <c r="GH34" s="39">
        <v>384</v>
      </c>
      <c r="GI34" s="39">
        <v>390</v>
      </c>
      <c r="GJ34" s="39">
        <v>294</v>
      </c>
      <c r="GK34" s="39">
        <v>276</v>
      </c>
      <c r="GL34" s="39">
        <v>267</v>
      </c>
      <c r="GM34" s="39">
        <v>274</v>
      </c>
      <c r="GN34" s="40">
        <v>853</v>
      </c>
    </row>
    <row r="35" spans="1:196" s="1" customFormat="1" x14ac:dyDescent="0.2">
      <c r="A35" s="41" t="s">
        <v>1039</v>
      </c>
      <c r="B35" s="284" t="s">
        <v>1002</v>
      </c>
      <c r="C35" s="24" t="str">
        <f t="shared" si="10"/>
        <v>Council area - East Ayrshire</v>
      </c>
      <c r="D35" s="32">
        <f t="shared" si="17"/>
        <v>55725</v>
      </c>
      <c r="E35" s="32">
        <f t="shared" si="17"/>
        <v>59419</v>
      </c>
      <c r="F35" s="33">
        <f t="shared" si="18"/>
        <v>120750</v>
      </c>
      <c r="G35" s="33">
        <f t="shared" si="19"/>
        <v>58515</v>
      </c>
      <c r="H35" s="34">
        <f t="shared" si="20"/>
        <v>62235</v>
      </c>
      <c r="I35" s="390">
        <f t="shared" si="13"/>
        <v>55725</v>
      </c>
      <c r="J35" s="34">
        <f t="shared" si="14"/>
        <v>59419</v>
      </c>
      <c r="K35" s="55">
        <f t="shared" si="11"/>
        <v>8235</v>
      </c>
      <c r="L35" s="32">
        <f t="shared" si="12"/>
        <v>7738</v>
      </c>
      <c r="M35" s="55">
        <f t="shared" si="15"/>
        <v>50989</v>
      </c>
      <c r="N35" s="32">
        <f t="shared" si="16"/>
        <v>54990</v>
      </c>
      <c r="O35" s="924">
        <v>531</v>
      </c>
      <c r="P35" s="924">
        <v>499</v>
      </c>
      <c r="Q35" s="924">
        <v>583</v>
      </c>
      <c r="R35" s="924">
        <v>577</v>
      </c>
      <c r="S35" s="924">
        <v>600</v>
      </c>
      <c r="T35" s="924">
        <v>600</v>
      </c>
      <c r="U35" s="924">
        <v>618</v>
      </c>
      <c r="V35" s="924">
        <v>709</v>
      </c>
      <c r="W35" s="924">
        <v>753</v>
      </c>
      <c r="X35" s="924">
        <v>618</v>
      </c>
      <c r="Y35" s="924">
        <v>657</v>
      </c>
      <c r="Z35" s="924">
        <v>781</v>
      </c>
      <c r="AA35" s="924">
        <v>708</v>
      </c>
      <c r="AB35" s="924">
        <v>700</v>
      </c>
      <c r="AC35" s="924">
        <v>701</v>
      </c>
      <c r="AD35" s="924">
        <v>710</v>
      </c>
      <c r="AE35" s="924">
        <v>680</v>
      </c>
      <c r="AF35" s="924">
        <v>660</v>
      </c>
      <c r="AG35" s="924">
        <v>641</v>
      </c>
      <c r="AH35" s="924">
        <v>661</v>
      </c>
      <c r="AI35" s="924">
        <v>581</v>
      </c>
      <c r="AJ35" s="924">
        <v>550</v>
      </c>
      <c r="AK35" s="924">
        <v>620</v>
      </c>
      <c r="AL35" s="924">
        <v>603</v>
      </c>
      <c r="AM35" s="924">
        <v>550</v>
      </c>
      <c r="AN35" s="924">
        <v>637</v>
      </c>
      <c r="AO35" s="924">
        <v>613</v>
      </c>
      <c r="AP35" s="924">
        <v>593</v>
      </c>
      <c r="AQ35" s="924">
        <v>660</v>
      </c>
      <c r="AR35" s="924">
        <v>649</v>
      </c>
      <c r="AS35" s="924">
        <v>691</v>
      </c>
      <c r="AT35" s="924">
        <v>685</v>
      </c>
      <c r="AU35" s="924">
        <v>716</v>
      </c>
      <c r="AV35" s="924">
        <v>729</v>
      </c>
      <c r="AW35" s="924">
        <v>759</v>
      </c>
      <c r="AX35" s="924">
        <v>720</v>
      </c>
      <c r="AY35" s="924">
        <v>705</v>
      </c>
      <c r="AZ35" s="924">
        <v>693</v>
      </c>
      <c r="BA35" s="924">
        <v>706</v>
      </c>
      <c r="BB35" s="924">
        <v>669</v>
      </c>
      <c r="BC35" s="924">
        <v>699</v>
      </c>
      <c r="BD35" s="924">
        <v>736</v>
      </c>
      <c r="BE35" s="924">
        <v>742</v>
      </c>
      <c r="BF35" s="924">
        <v>626</v>
      </c>
      <c r="BG35" s="924">
        <v>724</v>
      </c>
      <c r="BH35" s="924">
        <v>680</v>
      </c>
      <c r="BI35" s="924">
        <v>613</v>
      </c>
      <c r="BJ35" s="924">
        <v>677</v>
      </c>
      <c r="BK35" s="924">
        <v>723</v>
      </c>
      <c r="BL35" s="924">
        <v>696</v>
      </c>
      <c r="BM35" s="924">
        <v>807</v>
      </c>
      <c r="BN35" s="924">
        <v>850</v>
      </c>
      <c r="BO35" s="924">
        <v>847</v>
      </c>
      <c r="BP35" s="924">
        <v>878</v>
      </c>
      <c r="BQ35" s="924">
        <v>966</v>
      </c>
      <c r="BR35" s="924">
        <v>918</v>
      </c>
      <c r="BS35" s="924">
        <v>925</v>
      </c>
      <c r="BT35" s="924">
        <v>934</v>
      </c>
      <c r="BU35" s="924">
        <v>979</v>
      </c>
      <c r="BV35" s="924">
        <v>904</v>
      </c>
      <c r="BW35" s="924">
        <v>885</v>
      </c>
      <c r="BX35" s="924">
        <v>893</v>
      </c>
      <c r="BY35" s="924">
        <v>850</v>
      </c>
      <c r="BZ35" s="924">
        <v>797</v>
      </c>
      <c r="CA35" s="924">
        <v>855</v>
      </c>
      <c r="CB35" s="924">
        <v>809</v>
      </c>
      <c r="CC35" s="924">
        <v>822</v>
      </c>
      <c r="CD35" s="924">
        <v>742</v>
      </c>
      <c r="CE35" s="924">
        <v>730</v>
      </c>
      <c r="CF35" s="924">
        <v>684</v>
      </c>
      <c r="CG35" s="924">
        <v>730</v>
      </c>
      <c r="CH35" s="924">
        <v>632</v>
      </c>
      <c r="CI35" s="924">
        <v>625</v>
      </c>
      <c r="CJ35" s="924">
        <v>655</v>
      </c>
      <c r="CK35" s="924">
        <v>617</v>
      </c>
      <c r="CL35" s="924">
        <v>600</v>
      </c>
      <c r="CM35" s="924">
        <v>666</v>
      </c>
      <c r="CN35" s="924">
        <v>482</v>
      </c>
      <c r="CO35" s="924">
        <v>433</v>
      </c>
      <c r="CP35" s="924">
        <v>468</v>
      </c>
      <c r="CQ35" s="924">
        <v>353</v>
      </c>
      <c r="CR35" s="924">
        <v>281</v>
      </c>
      <c r="CS35" s="924">
        <v>281</v>
      </c>
      <c r="CT35" s="924">
        <v>266</v>
      </c>
      <c r="CU35" s="924">
        <v>257</v>
      </c>
      <c r="CV35" s="924">
        <v>230</v>
      </c>
      <c r="CW35" s="924">
        <v>185</v>
      </c>
      <c r="CX35" s="924">
        <v>146</v>
      </c>
      <c r="CY35" s="924">
        <v>107</v>
      </c>
      <c r="CZ35" s="924">
        <v>91</v>
      </c>
      <c r="DA35" s="926">
        <v>303</v>
      </c>
      <c r="DB35" s="39">
        <v>494</v>
      </c>
      <c r="DC35" s="39">
        <v>550</v>
      </c>
      <c r="DD35" s="39">
        <v>521</v>
      </c>
      <c r="DE35" s="39">
        <v>621</v>
      </c>
      <c r="DF35" s="39">
        <v>630</v>
      </c>
      <c r="DG35" s="39">
        <v>590</v>
      </c>
      <c r="DH35" s="39">
        <v>581</v>
      </c>
      <c r="DI35" s="39">
        <v>617</v>
      </c>
      <c r="DJ35" s="39">
        <v>638</v>
      </c>
      <c r="DK35" s="39">
        <v>638</v>
      </c>
      <c r="DL35" s="39">
        <v>669</v>
      </c>
      <c r="DM35" s="39">
        <v>696</v>
      </c>
      <c r="DN35" s="39">
        <v>654</v>
      </c>
      <c r="DO35" s="39">
        <v>653</v>
      </c>
      <c r="DP35" s="39">
        <v>717</v>
      </c>
      <c r="DQ35" s="39">
        <v>648</v>
      </c>
      <c r="DR35" s="39">
        <v>637</v>
      </c>
      <c r="DS35" s="39">
        <v>647</v>
      </c>
      <c r="DT35" s="39">
        <v>615</v>
      </c>
      <c r="DU35" s="39">
        <v>574</v>
      </c>
      <c r="DV35" s="39">
        <v>576</v>
      </c>
      <c r="DW35" s="39">
        <v>592</v>
      </c>
      <c r="DX35" s="39">
        <v>543</v>
      </c>
      <c r="DY35" s="39">
        <v>640</v>
      </c>
      <c r="DZ35" s="39">
        <v>604</v>
      </c>
      <c r="EA35" s="39">
        <v>605</v>
      </c>
      <c r="EB35" s="39">
        <v>611</v>
      </c>
      <c r="EC35" s="39">
        <v>636</v>
      </c>
      <c r="ED35" s="39">
        <v>658</v>
      </c>
      <c r="EE35" s="39">
        <v>735</v>
      </c>
      <c r="EF35" s="39">
        <v>733</v>
      </c>
      <c r="EG35" s="39">
        <v>771</v>
      </c>
      <c r="EH35" s="39">
        <v>830</v>
      </c>
      <c r="EI35" s="39">
        <v>753</v>
      </c>
      <c r="EJ35" s="39">
        <v>767</v>
      </c>
      <c r="EK35" s="39">
        <v>813</v>
      </c>
      <c r="EL35" s="39">
        <v>787</v>
      </c>
      <c r="EM35" s="39">
        <v>764</v>
      </c>
      <c r="EN35" s="39">
        <v>721</v>
      </c>
      <c r="EO35" s="39">
        <v>763</v>
      </c>
      <c r="EP35" s="39">
        <v>727</v>
      </c>
      <c r="EQ35" s="39">
        <v>770</v>
      </c>
      <c r="ER35" s="39">
        <v>763</v>
      </c>
      <c r="ES35" s="39">
        <v>736</v>
      </c>
      <c r="ET35" s="39">
        <v>696</v>
      </c>
      <c r="EU35" s="39">
        <v>702</v>
      </c>
      <c r="EV35" s="39">
        <v>659</v>
      </c>
      <c r="EW35" s="39">
        <v>738</v>
      </c>
      <c r="EX35" s="39">
        <v>752</v>
      </c>
      <c r="EY35" s="39">
        <v>803</v>
      </c>
      <c r="EZ35" s="39">
        <v>811</v>
      </c>
      <c r="FA35" s="39">
        <v>946</v>
      </c>
      <c r="FB35" s="39">
        <v>966</v>
      </c>
      <c r="FC35" s="39">
        <v>916</v>
      </c>
      <c r="FD35" s="39">
        <v>993</v>
      </c>
      <c r="FE35" s="39">
        <v>1051</v>
      </c>
      <c r="FF35" s="39">
        <v>1032</v>
      </c>
      <c r="FG35" s="39">
        <v>1011</v>
      </c>
      <c r="FH35" s="39">
        <v>1079</v>
      </c>
      <c r="FI35" s="39">
        <v>1011</v>
      </c>
      <c r="FJ35" s="39">
        <v>979</v>
      </c>
      <c r="FK35" s="39">
        <v>924</v>
      </c>
      <c r="FL35" s="39">
        <v>916</v>
      </c>
      <c r="FM35" s="39">
        <v>939</v>
      </c>
      <c r="FN35" s="39">
        <v>861</v>
      </c>
      <c r="FO35" s="39">
        <v>867</v>
      </c>
      <c r="FP35" s="39">
        <v>844</v>
      </c>
      <c r="FQ35" s="39">
        <v>786</v>
      </c>
      <c r="FR35" s="39">
        <v>781</v>
      </c>
      <c r="FS35" s="39">
        <v>716</v>
      </c>
      <c r="FT35" s="39">
        <v>733</v>
      </c>
      <c r="FU35" s="39">
        <v>710</v>
      </c>
      <c r="FV35" s="39">
        <v>682</v>
      </c>
      <c r="FW35" s="39">
        <v>686</v>
      </c>
      <c r="FX35" s="39">
        <v>694</v>
      </c>
      <c r="FY35" s="39">
        <v>747</v>
      </c>
      <c r="FZ35" s="39">
        <v>779</v>
      </c>
      <c r="GA35" s="39">
        <v>540</v>
      </c>
      <c r="GB35" s="39">
        <v>527</v>
      </c>
      <c r="GC35" s="39">
        <v>496</v>
      </c>
      <c r="GD35" s="39">
        <v>444</v>
      </c>
      <c r="GE35" s="39">
        <v>415</v>
      </c>
      <c r="GF35" s="39">
        <v>359</v>
      </c>
      <c r="GG35" s="39">
        <v>356</v>
      </c>
      <c r="GH35" s="39">
        <v>289</v>
      </c>
      <c r="GI35" s="39">
        <v>272</v>
      </c>
      <c r="GJ35" s="39">
        <v>253</v>
      </c>
      <c r="GK35" s="39">
        <v>222</v>
      </c>
      <c r="GL35" s="39">
        <v>206</v>
      </c>
      <c r="GM35" s="39">
        <v>168</v>
      </c>
      <c r="GN35" s="40">
        <v>590</v>
      </c>
    </row>
    <row r="36" spans="1:196" s="1" customFormat="1" x14ac:dyDescent="0.2">
      <c r="A36" s="41" t="s">
        <v>1039</v>
      </c>
      <c r="B36" s="284" t="s">
        <v>1003</v>
      </c>
      <c r="C36" s="24" t="str">
        <f t="shared" si="10"/>
        <v>Council area - East Dunbartonshire</v>
      </c>
      <c r="D36" s="32">
        <f t="shared" si="17"/>
        <v>49968</v>
      </c>
      <c r="E36" s="32">
        <f t="shared" si="17"/>
        <v>54275</v>
      </c>
      <c r="F36" s="33">
        <f t="shared" si="18"/>
        <v>109230</v>
      </c>
      <c r="G36" s="33">
        <f t="shared" si="19"/>
        <v>52520</v>
      </c>
      <c r="H36" s="34">
        <f t="shared" si="20"/>
        <v>56710</v>
      </c>
      <c r="I36" s="390">
        <f t="shared" si="13"/>
        <v>49968</v>
      </c>
      <c r="J36" s="34">
        <f t="shared" si="14"/>
        <v>54275</v>
      </c>
      <c r="K36" s="55">
        <f t="shared" si="11"/>
        <v>7953</v>
      </c>
      <c r="L36" s="32">
        <f t="shared" si="12"/>
        <v>7596</v>
      </c>
      <c r="M36" s="55">
        <f t="shared" si="15"/>
        <v>45391</v>
      </c>
      <c r="N36" s="32">
        <f t="shared" si="16"/>
        <v>49894</v>
      </c>
      <c r="O36" s="924">
        <v>444</v>
      </c>
      <c r="P36" s="924">
        <v>471</v>
      </c>
      <c r="Q36" s="924">
        <v>511</v>
      </c>
      <c r="R36" s="924">
        <v>555</v>
      </c>
      <c r="S36" s="924">
        <v>571</v>
      </c>
      <c r="T36" s="924">
        <v>605</v>
      </c>
      <c r="U36" s="924">
        <v>685</v>
      </c>
      <c r="V36" s="924">
        <v>664</v>
      </c>
      <c r="W36" s="924">
        <v>633</v>
      </c>
      <c r="X36" s="924">
        <v>650</v>
      </c>
      <c r="Y36" s="924">
        <v>651</v>
      </c>
      <c r="Z36" s="924">
        <v>689</v>
      </c>
      <c r="AA36" s="924">
        <v>731</v>
      </c>
      <c r="AB36" s="924">
        <v>694</v>
      </c>
      <c r="AC36" s="924">
        <v>721</v>
      </c>
      <c r="AD36" s="924">
        <v>634</v>
      </c>
      <c r="AE36" s="924">
        <v>596</v>
      </c>
      <c r="AF36" s="924">
        <v>630</v>
      </c>
      <c r="AG36" s="924">
        <v>596</v>
      </c>
      <c r="AH36" s="924">
        <v>521</v>
      </c>
      <c r="AI36" s="924">
        <v>534</v>
      </c>
      <c r="AJ36" s="924">
        <v>480</v>
      </c>
      <c r="AK36" s="924">
        <v>559</v>
      </c>
      <c r="AL36" s="924">
        <v>503</v>
      </c>
      <c r="AM36" s="924">
        <v>505</v>
      </c>
      <c r="AN36" s="924">
        <v>497</v>
      </c>
      <c r="AO36" s="924">
        <v>462</v>
      </c>
      <c r="AP36" s="924">
        <v>448</v>
      </c>
      <c r="AQ36" s="924">
        <v>414</v>
      </c>
      <c r="AR36" s="924">
        <v>466</v>
      </c>
      <c r="AS36" s="924">
        <v>481</v>
      </c>
      <c r="AT36" s="924">
        <v>487</v>
      </c>
      <c r="AU36" s="924">
        <v>533</v>
      </c>
      <c r="AV36" s="924">
        <v>533</v>
      </c>
      <c r="AW36" s="924">
        <v>531</v>
      </c>
      <c r="AX36" s="924">
        <v>574</v>
      </c>
      <c r="AY36" s="924">
        <v>600</v>
      </c>
      <c r="AZ36" s="924">
        <v>631</v>
      </c>
      <c r="BA36" s="924">
        <v>651</v>
      </c>
      <c r="BB36" s="924">
        <v>607</v>
      </c>
      <c r="BC36" s="924">
        <v>674</v>
      </c>
      <c r="BD36" s="924">
        <v>720</v>
      </c>
      <c r="BE36" s="924">
        <v>716</v>
      </c>
      <c r="BF36" s="924">
        <v>660</v>
      </c>
      <c r="BG36" s="924">
        <v>718</v>
      </c>
      <c r="BH36" s="924">
        <v>604</v>
      </c>
      <c r="BI36" s="924">
        <v>631</v>
      </c>
      <c r="BJ36" s="924">
        <v>611</v>
      </c>
      <c r="BK36" s="924">
        <v>629</v>
      </c>
      <c r="BL36" s="924">
        <v>645</v>
      </c>
      <c r="BM36" s="924">
        <v>683</v>
      </c>
      <c r="BN36" s="924">
        <v>693</v>
      </c>
      <c r="BO36" s="924">
        <v>742</v>
      </c>
      <c r="BP36" s="924">
        <v>738</v>
      </c>
      <c r="BQ36" s="924">
        <v>744</v>
      </c>
      <c r="BR36" s="924">
        <v>722</v>
      </c>
      <c r="BS36" s="924">
        <v>757</v>
      </c>
      <c r="BT36" s="924">
        <v>750</v>
      </c>
      <c r="BU36" s="924">
        <v>841</v>
      </c>
      <c r="BV36" s="924">
        <v>813</v>
      </c>
      <c r="BW36" s="924">
        <v>791</v>
      </c>
      <c r="BX36" s="924">
        <v>781</v>
      </c>
      <c r="BY36" s="924">
        <v>738</v>
      </c>
      <c r="BZ36" s="924">
        <v>744</v>
      </c>
      <c r="CA36" s="924">
        <v>752</v>
      </c>
      <c r="CB36" s="924">
        <v>679</v>
      </c>
      <c r="CC36" s="924">
        <v>709</v>
      </c>
      <c r="CD36" s="924">
        <v>662</v>
      </c>
      <c r="CE36" s="924">
        <v>706</v>
      </c>
      <c r="CF36" s="924">
        <v>622</v>
      </c>
      <c r="CG36" s="924">
        <v>658</v>
      </c>
      <c r="CH36" s="924">
        <v>546</v>
      </c>
      <c r="CI36" s="924">
        <v>621</v>
      </c>
      <c r="CJ36" s="924">
        <v>570</v>
      </c>
      <c r="CK36" s="924">
        <v>567</v>
      </c>
      <c r="CL36" s="924">
        <v>591</v>
      </c>
      <c r="CM36" s="924">
        <v>641</v>
      </c>
      <c r="CN36" s="924">
        <v>449</v>
      </c>
      <c r="CO36" s="924">
        <v>447</v>
      </c>
      <c r="CP36" s="924">
        <v>419</v>
      </c>
      <c r="CQ36" s="924">
        <v>370</v>
      </c>
      <c r="CR36" s="924">
        <v>345</v>
      </c>
      <c r="CS36" s="924">
        <v>308</v>
      </c>
      <c r="CT36" s="924">
        <v>301</v>
      </c>
      <c r="CU36" s="924">
        <v>225</v>
      </c>
      <c r="CV36" s="924">
        <v>249</v>
      </c>
      <c r="CW36" s="924">
        <v>240</v>
      </c>
      <c r="CX36" s="924">
        <v>189</v>
      </c>
      <c r="CY36" s="924">
        <v>184</v>
      </c>
      <c r="CZ36" s="924">
        <v>123</v>
      </c>
      <c r="DA36" s="926">
        <v>454</v>
      </c>
      <c r="DB36" s="39">
        <v>412</v>
      </c>
      <c r="DC36" s="39">
        <v>452</v>
      </c>
      <c r="DD36" s="39">
        <v>511</v>
      </c>
      <c r="DE36" s="39">
        <v>496</v>
      </c>
      <c r="DF36" s="39">
        <v>564</v>
      </c>
      <c r="DG36" s="39">
        <v>535</v>
      </c>
      <c r="DH36" s="39">
        <v>581</v>
      </c>
      <c r="DI36" s="39">
        <v>648</v>
      </c>
      <c r="DJ36" s="39">
        <v>645</v>
      </c>
      <c r="DK36" s="39">
        <v>671</v>
      </c>
      <c r="DL36" s="39">
        <v>647</v>
      </c>
      <c r="DM36" s="39">
        <v>654</v>
      </c>
      <c r="DN36" s="39">
        <v>671</v>
      </c>
      <c r="DO36" s="39">
        <v>662</v>
      </c>
      <c r="DP36" s="39">
        <v>629</v>
      </c>
      <c r="DQ36" s="39">
        <v>630</v>
      </c>
      <c r="DR36" s="39">
        <v>623</v>
      </c>
      <c r="DS36" s="39">
        <v>573</v>
      </c>
      <c r="DT36" s="39">
        <v>536</v>
      </c>
      <c r="DU36" s="39">
        <v>443</v>
      </c>
      <c r="DV36" s="39">
        <v>463</v>
      </c>
      <c r="DW36" s="39">
        <v>417</v>
      </c>
      <c r="DX36" s="39">
        <v>439</v>
      </c>
      <c r="DY36" s="39">
        <v>426</v>
      </c>
      <c r="DZ36" s="39">
        <v>456</v>
      </c>
      <c r="EA36" s="39">
        <v>431</v>
      </c>
      <c r="EB36" s="39">
        <v>416</v>
      </c>
      <c r="EC36" s="39">
        <v>416</v>
      </c>
      <c r="ED36" s="39">
        <v>393</v>
      </c>
      <c r="EE36" s="39">
        <v>422</v>
      </c>
      <c r="EF36" s="39">
        <v>458</v>
      </c>
      <c r="EG36" s="39">
        <v>549</v>
      </c>
      <c r="EH36" s="39">
        <v>526</v>
      </c>
      <c r="EI36" s="39">
        <v>580</v>
      </c>
      <c r="EJ36" s="39">
        <v>595</v>
      </c>
      <c r="EK36" s="39">
        <v>716</v>
      </c>
      <c r="EL36" s="39">
        <v>636</v>
      </c>
      <c r="EM36" s="39">
        <v>677</v>
      </c>
      <c r="EN36" s="39">
        <v>719</v>
      </c>
      <c r="EO36" s="39">
        <v>718</v>
      </c>
      <c r="EP36" s="39">
        <v>728</v>
      </c>
      <c r="EQ36" s="39">
        <v>702</v>
      </c>
      <c r="ER36" s="39">
        <v>780</v>
      </c>
      <c r="ES36" s="39">
        <v>796</v>
      </c>
      <c r="ET36" s="39">
        <v>762</v>
      </c>
      <c r="EU36" s="39">
        <v>697</v>
      </c>
      <c r="EV36" s="39">
        <v>687</v>
      </c>
      <c r="EW36" s="39">
        <v>692</v>
      </c>
      <c r="EX36" s="39">
        <v>697</v>
      </c>
      <c r="EY36" s="39">
        <v>665</v>
      </c>
      <c r="EZ36" s="39">
        <v>737</v>
      </c>
      <c r="FA36" s="39">
        <v>760</v>
      </c>
      <c r="FB36" s="39">
        <v>818</v>
      </c>
      <c r="FC36" s="39">
        <v>812</v>
      </c>
      <c r="FD36" s="39">
        <v>815</v>
      </c>
      <c r="FE36" s="39">
        <v>806</v>
      </c>
      <c r="FF36" s="39">
        <v>863</v>
      </c>
      <c r="FG36" s="39">
        <v>860</v>
      </c>
      <c r="FH36" s="39">
        <v>867</v>
      </c>
      <c r="FI36" s="39">
        <v>912</v>
      </c>
      <c r="FJ36" s="39">
        <v>910</v>
      </c>
      <c r="FK36" s="39">
        <v>901</v>
      </c>
      <c r="FL36" s="39">
        <v>840</v>
      </c>
      <c r="FM36" s="39">
        <v>753</v>
      </c>
      <c r="FN36" s="39">
        <v>849</v>
      </c>
      <c r="FO36" s="39">
        <v>820</v>
      </c>
      <c r="FP36" s="39">
        <v>861</v>
      </c>
      <c r="FQ36" s="39">
        <v>751</v>
      </c>
      <c r="FR36" s="39">
        <v>732</v>
      </c>
      <c r="FS36" s="39">
        <v>722</v>
      </c>
      <c r="FT36" s="39">
        <v>720</v>
      </c>
      <c r="FU36" s="39">
        <v>646</v>
      </c>
      <c r="FV36" s="39">
        <v>644</v>
      </c>
      <c r="FW36" s="39">
        <v>690</v>
      </c>
      <c r="FX36" s="39">
        <v>706</v>
      </c>
      <c r="FY36" s="39">
        <v>701</v>
      </c>
      <c r="FZ36" s="39">
        <v>727</v>
      </c>
      <c r="GA36" s="39">
        <v>556</v>
      </c>
      <c r="GB36" s="39">
        <v>517</v>
      </c>
      <c r="GC36" s="39">
        <v>552</v>
      </c>
      <c r="GD36" s="39">
        <v>513</v>
      </c>
      <c r="GE36" s="39">
        <v>434</v>
      </c>
      <c r="GF36" s="39">
        <v>396</v>
      </c>
      <c r="GG36" s="39">
        <v>423</v>
      </c>
      <c r="GH36" s="39">
        <v>408</v>
      </c>
      <c r="GI36" s="39">
        <v>385</v>
      </c>
      <c r="GJ36" s="39">
        <v>383</v>
      </c>
      <c r="GK36" s="39">
        <v>300</v>
      </c>
      <c r="GL36" s="39">
        <v>256</v>
      </c>
      <c r="GM36" s="39">
        <v>253</v>
      </c>
      <c r="GN36" s="40">
        <v>869</v>
      </c>
    </row>
    <row r="37" spans="1:196" s="1" customFormat="1" x14ac:dyDescent="0.2">
      <c r="A37" s="41" t="s">
        <v>1039</v>
      </c>
      <c r="B37" s="284" t="s">
        <v>1004</v>
      </c>
      <c r="C37" s="24" t="str">
        <f t="shared" si="10"/>
        <v>Council area - East Lothian</v>
      </c>
      <c r="D37" s="32">
        <f t="shared" si="17"/>
        <v>51634</v>
      </c>
      <c r="E37" s="32">
        <f t="shared" si="17"/>
        <v>56550</v>
      </c>
      <c r="F37" s="33">
        <f t="shared" si="18"/>
        <v>113740</v>
      </c>
      <c r="G37" s="33">
        <f t="shared" si="19"/>
        <v>54500</v>
      </c>
      <c r="H37" s="34">
        <f t="shared" si="20"/>
        <v>59240</v>
      </c>
      <c r="I37" s="390">
        <f t="shared" si="13"/>
        <v>51634</v>
      </c>
      <c r="J37" s="34">
        <f t="shared" si="14"/>
        <v>56550</v>
      </c>
      <c r="K37" s="55">
        <f t="shared" si="11"/>
        <v>8165</v>
      </c>
      <c r="L37" s="32">
        <f t="shared" si="12"/>
        <v>7857</v>
      </c>
      <c r="M37" s="55">
        <f t="shared" si="15"/>
        <v>47016</v>
      </c>
      <c r="N37" s="32">
        <f t="shared" si="16"/>
        <v>52094</v>
      </c>
      <c r="O37" s="924">
        <v>500</v>
      </c>
      <c r="P37" s="924">
        <v>595</v>
      </c>
      <c r="Q37" s="924">
        <v>562</v>
      </c>
      <c r="R37" s="924">
        <v>578</v>
      </c>
      <c r="S37" s="924">
        <v>631</v>
      </c>
      <c r="T37" s="924">
        <v>624</v>
      </c>
      <c r="U37" s="924">
        <v>641</v>
      </c>
      <c r="V37" s="924">
        <v>706</v>
      </c>
      <c r="W37" s="924">
        <v>604</v>
      </c>
      <c r="X37" s="924">
        <v>668</v>
      </c>
      <c r="Y37" s="924">
        <v>663</v>
      </c>
      <c r="Z37" s="924">
        <v>712</v>
      </c>
      <c r="AA37" s="924">
        <v>710</v>
      </c>
      <c r="AB37" s="924">
        <v>705</v>
      </c>
      <c r="AC37" s="924">
        <v>702</v>
      </c>
      <c r="AD37" s="924">
        <v>730</v>
      </c>
      <c r="AE37" s="924">
        <v>700</v>
      </c>
      <c r="AF37" s="924">
        <v>760</v>
      </c>
      <c r="AG37" s="924">
        <v>658</v>
      </c>
      <c r="AH37" s="924">
        <v>614</v>
      </c>
      <c r="AI37" s="924">
        <v>477</v>
      </c>
      <c r="AJ37" s="924">
        <v>479</v>
      </c>
      <c r="AK37" s="924">
        <v>441</v>
      </c>
      <c r="AL37" s="924">
        <v>512</v>
      </c>
      <c r="AM37" s="924">
        <v>461</v>
      </c>
      <c r="AN37" s="924">
        <v>485</v>
      </c>
      <c r="AO37" s="924">
        <v>539</v>
      </c>
      <c r="AP37" s="924">
        <v>555</v>
      </c>
      <c r="AQ37" s="924">
        <v>492</v>
      </c>
      <c r="AR37" s="924">
        <v>582</v>
      </c>
      <c r="AS37" s="924">
        <v>559</v>
      </c>
      <c r="AT37" s="924">
        <v>625</v>
      </c>
      <c r="AU37" s="924">
        <v>646</v>
      </c>
      <c r="AV37" s="924">
        <v>635</v>
      </c>
      <c r="AW37" s="924">
        <v>651</v>
      </c>
      <c r="AX37" s="924">
        <v>696</v>
      </c>
      <c r="AY37" s="924">
        <v>685</v>
      </c>
      <c r="AZ37" s="924">
        <v>667</v>
      </c>
      <c r="BA37" s="924">
        <v>687</v>
      </c>
      <c r="BB37" s="924">
        <v>628</v>
      </c>
      <c r="BC37" s="924">
        <v>686</v>
      </c>
      <c r="BD37" s="924">
        <v>684</v>
      </c>
      <c r="BE37" s="924">
        <v>697</v>
      </c>
      <c r="BF37" s="924">
        <v>653</v>
      </c>
      <c r="BG37" s="924">
        <v>702</v>
      </c>
      <c r="BH37" s="924">
        <v>638</v>
      </c>
      <c r="BI37" s="924">
        <v>648</v>
      </c>
      <c r="BJ37" s="924">
        <v>646</v>
      </c>
      <c r="BK37" s="924">
        <v>695</v>
      </c>
      <c r="BL37" s="924">
        <v>720</v>
      </c>
      <c r="BM37" s="924">
        <v>784</v>
      </c>
      <c r="BN37" s="924">
        <v>762</v>
      </c>
      <c r="BO37" s="924">
        <v>775</v>
      </c>
      <c r="BP37" s="924">
        <v>800</v>
      </c>
      <c r="BQ37" s="924">
        <v>773</v>
      </c>
      <c r="BR37" s="924">
        <v>799</v>
      </c>
      <c r="BS37" s="924">
        <v>834</v>
      </c>
      <c r="BT37" s="924">
        <v>810</v>
      </c>
      <c r="BU37" s="924">
        <v>898</v>
      </c>
      <c r="BV37" s="924">
        <v>786</v>
      </c>
      <c r="BW37" s="924">
        <v>867</v>
      </c>
      <c r="BX37" s="924">
        <v>842</v>
      </c>
      <c r="BY37" s="924">
        <v>813</v>
      </c>
      <c r="BZ37" s="924">
        <v>741</v>
      </c>
      <c r="CA37" s="924">
        <v>748</v>
      </c>
      <c r="CB37" s="924">
        <v>695</v>
      </c>
      <c r="CC37" s="924">
        <v>724</v>
      </c>
      <c r="CD37" s="924">
        <v>687</v>
      </c>
      <c r="CE37" s="924">
        <v>620</v>
      </c>
      <c r="CF37" s="924">
        <v>641</v>
      </c>
      <c r="CG37" s="924">
        <v>591</v>
      </c>
      <c r="CH37" s="924">
        <v>545</v>
      </c>
      <c r="CI37" s="924">
        <v>525</v>
      </c>
      <c r="CJ37" s="924">
        <v>537</v>
      </c>
      <c r="CK37" s="924">
        <v>527</v>
      </c>
      <c r="CL37" s="924">
        <v>612</v>
      </c>
      <c r="CM37" s="924">
        <v>605</v>
      </c>
      <c r="CN37" s="924">
        <v>447</v>
      </c>
      <c r="CO37" s="924">
        <v>414</v>
      </c>
      <c r="CP37" s="924">
        <v>410</v>
      </c>
      <c r="CQ37" s="924">
        <v>347</v>
      </c>
      <c r="CR37" s="924">
        <v>319</v>
      </c>
      <c r="CS37" s="924">
        <v>277</v>
      </c>
      <c r="CT37" s="924">
        <v>246</v>
      </c>
      <c r="CU37" s="924">
        <v>213</v>
      </c>
      <c r="CV37" s="924">
        <v>226</v>
      </c>
      <c r="CW37" s="924">
        <v>149</v>
      </c>
      <c r="CX37" s="924">
        <v>159</v>
      </c>
      <c r="CY37" s="924">
        <v>126</v>
      </c>
      <c r="CZ37" s="924">
        <v>102</v>
      </c>
      <c r="DA37" s="926">
        <v>390</v>
      </c>
      <c r="DB37" s="39">
        <v>483</v>
      </c>
      <c r="DC37" s="39">
        <v>483</v>
      </c>
      <c r="DD37" s="39">
        <v>558</v>
      </c>
      <c r="DE37" s="39">
        <v>529</v>
      </c>
      <c r="DF37" s="39">
        <v>637</v>
      </c>
      <c r="DG37" s="39">
        <v>584</v>
      </c>
      <c r="DH37" s="39">
        <v>553</v>
      </c>
      <c r="DI37" s="39">
        <v>687</v>
      </c>
      <c r="DJ37" s="39">
        <v>643</v>
      </c>
      <c r="DK37" s="39">
        <v>655</v>
      </c>
      <c r="DL37" s="39">
        <v>639</v>
      </c>
      <c r="DM37" s="39">
        <v>695</v>
      </c>
      <c r="DN37" s="39">
        <v>718</v>
      </c>
      <c r="DO37" s="39">
        <v>668</v>
      </c>
      <c r="DP37" s="39">
        <v>671</v>
      </c>
      <c r="DQ37" s="39">
        <v>668</v>
      </c>
      <c r="DR37" s="39">
        <v>676</v>
      </c>
      <c r="DS37" s="39">
        <v>647</v>
      </c>
      <c r="DT37" s="39">
        <v>554</v>
      </c>
      <c r="DU37" s="39">
        <v>591</v>
      </c>
      <c r="DV37" s="39">
        <v>544</v>
      </c>
      <c r="DW37" s="39">
        <v>530</v>
      </c>
      <c r="DX37" s="39">
        <v>511</v>
      </c>
      <c r="DY37" s="39">
        <v>532</v>
      </c>
      <c r="DZ37" s="39">
        <v>517</v>
      </c>
      <c r="EA37" s="39">
        <v>551</v>
      </c>
      <c r="EB37" s="39">
        <v>549</v>
      </c>
      <c r="EC37" s="39">
        <v>578</v>
      </c>
      <c r="ED37" s="39">
        <v>588</v>
      </c>
      <c r="EE37" s="39">
        <v>677</v>
      </c>
      <c r="EF37" s="39">
        <v>625</v>
      </c>
      <c r="EG37" s="39">
        <v>728</v>
      </c>
      <c r="EH37" s="39">
        <v>751</v>
      </c>
      <c r="EI37" s="39">
        <v>738</v>
      </c>
      <c r="EJ37" s="39">
        <v>739</v>
      </c>
      <c r="EK37" s="39">
        <v>730</v>
      </c>
      <c r="EL37" s="39">
        <v>755</v>
      </c>
      <c r="EM37" s="39">
        <v>741</v>
      </c>
      <c r="EN37" s="39">
        <v>748</v>
      </c>
      <c r="EO37" s="39">
        <v>722</v>
      </c>
      <c r="EP37" s="39">
        <v>774</v>
      </c>
      <c r="EQ37" s="39">
        <v>761</v>
      </c>
      <c r="ER37" s="39">
        <v>797</v>
      </c>
      <c r="ES37" s="39">
        <v>728</v>
      </c>
      <c r="ET37" s="39">
        <v>754</v>
      </c>
      <c r="EU37" s="39">
        <v>697</v>
      </c>
      <c r="EV37" s="39">
        <v>709</v>
      </c>
      <c r="EW37" s="39">
        <v>738</v>
      </c>
      <c r="EX37" s="39">
        <v>728</v>
      </c>
      <c r="EY37" s="39">
        <v>754</v>
      </c>
      <c r="EZ37" s="39">
        <v>783</v>
      </c>
      <c r="FA37" s="39">
        <v>845</v>
      </c>
      <c r="FB37" s="39">
        <v>915</v>
      </c>
      <c r="FC37" s="39">
        <v>886</v>
      </c>
      <c r="FD37" s="39">
        <v>910</v>
      </c>
      <c r="FE37" s="39">
        <v>940</v>
      </c>
      <c r="FF37" s="39">
        <v>926</v>
      </c>
      <c r="FG37" s="39">
        <v>869</v>
      </c>
      <c r="FH37" s="39">
        <v>937</v>
      </c>
      <c r="FI37" s="39">
        <v>920</v>
      </c>
      <c r="FJ37" s="39">
        <v>932</v>
      </c>
      <c r="FK37" s="39">
        <v>870</v>
      </c>
      <c r="FL37" s="39">
        <v>856</v>
      </c>
      <c r="FM37" s="39">
        <v>876</v>
      </c>
      <c r="FN37" s="39">
        <v>814</v>
      </c>
      <c r="FO37" s="39">
        <v>777</v>
      </c>
      <c r="FP37" s="39">
        <v>783</v>
      </c>
      <c r="FQ37" s="39">
        <v>711</v>
      </c>
      <c r="FR37" s="39">
        <v>685</v>
      </c>
      <c r="FS37" s="39">
        <v>635</v>
      </c>
      <c r="FT37" s="39">
        <v>658</v>
      </c>
      <c r="FU37" s="39">
        <v>639</v>
      </c>
      <c r="FV37" s="39">
        <v>649</v>
      </c>
      <c r="FW37" s="39">
        <v>624</v>
      </c>
      <c r="FX37" s="39">
        <v>620</v>
      </c>
      <c r="FY37" s="39">
        <v>674</v>
      </c>
      <c r="FZ37" s="39">
        <v>641</v>
      </c>
      <c r="GA37" s="39">
        <v>517</v>
      </c>
      <c r="GB37" s="39">
        <v>461</v>
      </c>
      <c r="GC37" s="39">
        <v>504</v>
      </c>
      <c r="GD37" s="39">
        <v>423</v>
      </c>
      <c r="GE37" s="39">
        <v>429</v>
      </c>
      <c r="GF37" s="39">
        <v>371</v>
      </c>
      <c r="GG37" s="39">
        <v>336</v>
      </c>
      <c r="GH37" s="39">
        <v>301</v>
      </c>
      <c r="GI37" s="39">
        <v>309</v>
      </c>
      <c r="GJ37" s="39">
        <v>269</v>
      </c>
      <c r="GK37" s="39">
        <v>244</v>
      </c>
      <c r="GL37" s="39">
        <v>185</v>
      </c>
      <c r="GM37" s="39">
        <v>194</v>
      </c>
      <c r="GN37" s="40">
        <v>689</v>
      </c>
    </row>
    <row r="38" spans="1:196" s="1" customFormat="1" x14ac:dyDescent="0.2">
      <c r="A38" s="41" t="s">
        <v>1039</v>
      </c>
      <c r="B38" s="284" t="s">
        <v>1005</v>
      </c>
      <c r="C38" s="24" t="str">
        <f t="shared" si="10"/>
        <v>Council area - East Renfrewshire</v>
      </c>
      <c r="D38" s="32">
        <f t="shared" si="17"/>
        <v>44815</v>
      </c>
      <c r="E38" s="32">
        <f t="shared" si="17"/>
        <v>48969</v>
      </c>
      <c r="F38" s="33">
        <f t="shared" si="18"/>
        <v>98600</v>
      </c>
      <c r="G38" s="33">
        <f t="shared" si="19"/>
        <v>47324</v>
      </c>
      <c r="H38" s="34">
        <f t="shared" si="20"/>
        <v>51276</v>
      </c>
      <c r="I38" s="390">
        <f t="shared" si="13"/>
        <v>44815</v>
      </c>
      <c r="J38" s="34">
        <f t="shared" si="14"/>
        <v>48969</v>
      </c>
      <c r="K38" s="55">
        <f t="shared" si="11"/>
        <v>8377</v>
      </c>
      <c r="L38" s="32">
        <f t="shared" si="12"/>
        <v>7922</v>
      </c>
      <c r="M38" s="55">
        <f t="shared" si="15"/>
        <v>40025</v>
      </c>
      <c r="N38" s="32">
        <f t="shared" si="16"/>
        <v>44475</v>
      </c>
      <c r="O38" s="924">
        <v>413</v>
      </c>
      <c r="P38" s="924">
        <v>466</v>
      </c>
      <c r="Q38" s="924">
        <v>506</v>
      </c>
      <c r="R38" s="924">
        <v>528</v>
      </c>
      <c r="S38" s="924">
        <v>596</v>
      </c>
      <c r="T38" s="924">
        <v>597</v>
      </c>
      <c r="U38" s="924">
        <v>645</v>
      </c>
      <c r="V38" s="924">
        <v>666</v>
      </c>
      <c r="W38" s="924">
        <v>685</v>
      </c>
      <c r="X38" s="924">
        <v>732</v>
      </c>
      <c r="Y38" s="924">
        <v>699</v>
      </c>
      <c r="Z38" s="924">
        <v>766</v>
      </c>
      <c r="AA38" s="924">
        <v>769</v>
      </c>
      <c r="AB38" s="924">
        <v>756</v>
      </c>
      <c r="AC38" s="924">
        <v>654</v>
      </c>
      <c r="AD38" s="924">
        <v>698</v>
      </c>
      <c r="AE38" s="924">
        <v>710</v>
      </c>
      <c r="AF38" s="924">
        <v>614</v>
      </c>
      <c r="AG38" s="924">
        <v>611</v>
      </c>
      <c r="AH38" s="924">
        <v>539</v>
      </c>
      <c r="AI38" s="924">
        <v>498</v>
      </c>
      <c r="AJ38" s="924">
        <v>479</v>
      </c>
      <c r="AK38" s="924">
        <v>499</v>
      </c>
      <c r="AL38" s="924">
        <v>474</v>
      </c>
      <c r="AM38" s="924">
        <v>471</v>
      </c>
      <c r="AN38" s="924">
        <v>437</v>
      </c>
      <c r="AO38" s="924">
        <v>404</v>
      </c>
      <c r="AP38" s="924">
        <v>344</v>
      </c>
      <c r="AQ38" s="924">
        <v>395</v>
      </c>
      <c r="AR38" s="924">
        <v>350</v>
      </c>
      <c r="AS38" s="924">
        <v>352</v>
      </c>
      <c r="AT38" s="924">
        <v>419</v>
      </c>
      <c r="AU38" s="924">
        <v>432</v>
      </c>
      <c r="AV38" s="924">
        <v>429</v>
      </c>
      <c r="AW38" s="924">
        <v>454</v>
      </c>
      <c r="AX38" s="924">
        <v>547</v>
      </c>
      <c r="AY38" s="924">
        <v>519</v>
      </c>
      <c r="AZ38" s="924">
        <v>588</v>
      </c>
      <c r="BA38" s="924">
        <v>584</v>
      </c>
      <c r="BB38" s="924">
        <v>526</v>
      </c>
      <c r="BC38" s="924">
        <v>619</v>
      </c>
      <c r="BD38" s="924">
        <v>659</v>
      </c>
      <c r="BE38" s="924">
        <v>646</v>
      </c>
      <c r="BF38" s="924">
        <v>689</v>
      </c>
      <c r="BG38" s="924">
        <v>655</v>
      </c>
      <c r="BH38" s="924">
        <v>638</v>
      </c>
      <c r="BI38" s="924">
        <v>576</v>
      </c>
      <c r="BJ38" s="924">
        <v>631</v>
      </c>
      <c r="BK38" s="924">
        <v>599</v>
      </c>
      <c r="BL38" s="924">
        <v>592</v>
      </c>
      <c r="BM38" s="924">
        <v>626</v>
      </c>
      <c r="BN38" s="924">
        <v>677</v>
      </c>
      <c r="BO38" s="924">
        <v>654</v>
      </c>
      <c r="BP38" s="924">
        <v>647</v>
      </c>
      <c r="BQ38" s="924">
        <v>651</v>
      </c>
      <c r="BR38" s="924">
        <v>637</v>
      </c>
      <c r="BS38" s="924">
        <v>679</v>
      </c>
      <c r="BT38" s="924">
        <v>618</v>
      </c>
      <c r="BU38" s="924">
        <v>660</v>
      </c>
      <c r="BV38" s="924">
        <v>703</v>
      </c>
      <c r="BW38" s="924">
        <v>641</v>
      </c>
      <c r="BX38" s="924">
        <v>629</v>
      </c>
      <c r="BY38" s="924">
        <v>627</v>
      </c>
      <c r="BZ38" s="924">
        <v>594</v>
      </c>
      <c r="CA38" s="924">
        <v>649</v>
      </c>
      <c r="CB38" s="924">
        <v>613</v>
      </c>
      <c r="CC38" s="924">
        <v>581</v>
      </c>
      <c r="CD38" s="924">
        <v>597</v>
      </c>
      <c r="CE38" s="924">
        <v>524</v>
      </c>
      <c r="CF38" s="924">
        <v>471</v>
      </c>
      <c r="CG38" s="924">
        <v>514</v>
      </c>
      <c r="CH38" s="924">
        <v>458</v>
      </c>
      <c r="CI38" s="924">
        <v>454</v>
      </c>
      <c r="CJ38" s="924">
        <v>452</v>
      </c>
      <c r="CK38" s="924">
        <v>456</v>
      </c>
      <c r="CL38" s="924">
        <v>469</v>
      </c>
      <c r="CM38" s="924">
        <v>485</v>
      </c>
      <c r="CN38" s="924">
        <v>366</v>
      </c>
      <c r="CO38" s="924">
        <v>300</v>
      </c>
      <c r="CP38" s="924">
        <v>345</v>
      </c>
      <c r="CQ38" s="924">
        <v>298</v>
      </c>
      <c r="CR38" s="924">
        <v>264</v>
      </c>
      <c r="CS38" s="924">
        <v>211</v>
      </c>
      <c r="CT38" s="924">
        <v>206</v>
      </c>
      <c r="CU38" s="924">
        <v>231</v>
      </c>
      <c r="CV38" s="924">
        <v>202</v>
      </c>
      <c r="CW38" s="924">
        <v>201</v>
      </c>
      <c r="CX38" s="924">
        <v>156</v>
      </c>
      <c r="CY38" s="924">
        <v>131</v>
      </c>
      <c r="CZ38" s="924">
        <v>93</v>
      </c>
      <c r="DA38" s="926">
        <v>399</v>
      </c>
      <c r="DB38" s="39">
        <v>387</v>
      </c>
      <c r="DC38" s="39">
        <v>391</v>
      </c>
      <c r="DD38" s="39">
        <v>462</v>
      </c>
      <c r="DE38" s="39">
        <v>477</v>
      </c>
      <c r="DF38" s="39">
        <v>590</v>
      </c>
      <c r="DG38" s="39">
        <v>547</v>
      </c>
      <c r="DH38" s="39">
        <v>571</v>
      </c>
      <c r="DI38" s="39">
        <v>676</v>
      </c>
      <c r="DJ38" s="39">
        <v>596</v>
      </c>
      <c r="DK38" s="39">
        <v>674</v>
      </c>
      <c r="DL38" s="39">
        <v>705</v>
      </c>
      <c r="DM38" s="39">
        <v>725</v>
      </c>
      <c r="DN38" s="39">
        <v>703</v>
      </c>
      <c r="DO38" s="39">
        <v>720</v>
      </c>
      <c r="DP38" s="39">
        <v>686</v>
      </c>
      <c r="DQ38" s="39">
        <v>670</v>
      </c>
      <c r="DR38" s="39">
        <v>649</v>
      </c>
      <c r="DS38" s="39">
        <v>640</v>
      </c>
      <c r="DT38" s="39">
        <v>595</v>
      </c>
      <c r="DU38" s="39">
        <v>470</v>
      </c>
      <c r="DV38" s="39">
        <v>495</v>
      </c>
      <c r="DW38" s="39">
        <v>436</v>
      </c>
      <c r="DX38" s="39">
        <v>399</v>
      </c>
      <c r="DY38" s="39">
        <v>418</v>
      </c>
      <c r="DZ38" s="39">
        <v>423</v>
      </c>
      <c r="EA38" s="39">
        <v>428</v>
      </c>
      <c r="EB38" s="39">
        <v>413</v>
      </c>
      <c r="EC38" s="39">
        <v>385</v>
      </c>
      <c r="ED38" s="39">
        <v>366</v>
      </c>
      <c r="EE38" s="39">
        <v>382</v>
      </c>
      <c r="EF38" s="39">
        <v>427</v>
      </c>
      <c r="EG38" s="39">
        <v>427</v>
      </c>
      <c r="EH38" s="39">
        <v>499</v>
      </c>
      <c r="EI38" s="39">
        <v>482</v>
      </c>
      <c r="EJ38" s="39">
        <v>567</v>
      </c>
      <c r="EK38" s="39">
        <v>622</v>
      </c>
      <c r="EL38" s="39">
        <v>620</v>
      </c>
      <c r="EM38" s="39">
        <v>629</v>
      </c>
      <c r="EN38" s="39">
        <v>618</v>
      </c>
      <c r="EO38" s="39">
        <v>648</v>
      </c>
      <c r="EP38" s="39">
        <v>694</v>
      </c>
      <c r="EQ38" s="39">
        <v>718</v>
      </c>
      <c r="ER38" s="39">
        <v>752</v>
      </c>
      <c r="ES38" s="39">
        <v>715</v>
      </c>
      <c r="ET38" s="39">
        <v>743</v>
      </c>
      <c r="EU38" s="39">
        <v>688</v>
      </c>
      <c r="EV38" s="39">
        <v>696</v>
      </c>
      <c r="EW38" s="39">
        <v>714</v>
      </c>
      <c r="EX38" s="39">
        <v>632</v>
      </c>
      <c r="EY38" s="39">
        <v>634</v>
      </c>
      <c r="EZ38" s="39">
        <v>667</v>
      </c>
      <c r="FA38" s="39">
        <v>687</v>
      </c>
      <c r="FB38" s="39">
        <v>696</v>
      </c>
      <c r="FC38" s="39">
        <v>701</v>
      </c>
      <c r="FD38" s="39">
        <v>702</v>
      </c>
      <c r="FE38" s="39">
        <v>742</v>
      </c>
      <c r="FF38" s="39">
        <v>743</v>
      </c>
      <c r="FG38" s="39">
        <v>720</v>
      </c>
      <c r="FH38" s="39">
        <v>743</v>
      </c>
      <c r="FI38" s="39">
        <v>773</v>
      </c>
      <c r="FJ38" s="39">
        <v>708</v>
      </c>
      <c r="FK38" s="39">
        <v>709</v>
      </c>
      <c r="FL38" s="39">
        <v>661</v>
      </c>
      <c r="FM38" s="39">
        <v>685</v>
      </c>
      <c r="FN38" s="39">
        <v>668</v>
      </c>
      <c r="FO38" s="39">
        <v>643</v>
      </c>
      <c r="FP38" s="39">
        <v>659</v>
      </c>
      <c r="FQ38" s="39">
        <v>664</v>
      </c>
      <c r="FR38" s="39">
        <v>638</v>
      </c>
      <c r="FS38" s="39">
        <v>587</v>
      </c>
      <c r="FT38" s="39">
        <v>560</v>
      </c>
      <c r="FU38" s="39">
        <v>541</v>
      </c>
      <c r="FV38" s="39">
        <v>514</v>
      </c>
      <c r="FW38" s="39">
        <v>540</v>
      </c>
      <c r="FX38" s="39">
        <v>551</v>
      </c>
      <c r="FY38" s="39">
        <v>587</v>
      </c>
      <c r="FZ38" s="39">
        <v>604</v>
      </c>
      <c r="GA38" s="39">
        <v>408</v>
      </c>
      <c r="GB38" s="39">
        <v>417</v>
      </c>
      <c r="GC38" s="39">
        <v>465</v>
      </c>
      <c r="GD38" s="39">
        <v>429</v>
      </c>
      <c r="GE38" s="39">
        <v>347</v>
      </c>
      <c r="GF38" s="39">
        <v>332</v>
      </c>
      <c r="GG38" s="39">
        <v>301</v>
      </c>
      <c r="GH38" s="39">
        <v>290</v>
      </c>
      <c r="GI38" s="39">
        <v>278</v>
      </c>
      <c r="GJ38" s="39">
        <v>245</v>
      </c>
      <c r="GK38" s="39">
        <v>251</v>
      </c>
      <c r="GL38" s="39">
        <v>234</v>
      </c>
      <c r="GM38" s="39">
        <v>221</v>
      </c>
      <c r="GN38" s="40">
        <v>761</v>
      </c>
    </row>
    <row r="39" spans="1:196" s="1" customFormat="1" x14ac:dyDescent="0.2">
      <c r="A39" s="41" t="s">
        <v>1039</v>
      </c>
      <c r="B39" s="284" t="s">
        <v>1006</v>
      </c>
      <c r="C39" s="24" t="str">
        <f t="shared" si="10"/>
        <v>Council area - Falkirk</v>
      </c>
      <c r="D39" s="32">
        <f t="shared" si="17"/>
        <v>73271</v>
      </c>
      <c r="E39" s="32">
        <f t="shared" si="17"/>
        <v>78024</v>
      </c>
      <c r="F39" s="33">
        <f t="shared" si="18"/>
        <v>158620</v>
      </c>
      <c r="G39" s="33">
        <f t="shared" si="19"/>
        <v>77062</v>
      </c>
      <c r="H39" s="34">
        <f t="shared" si="20"/>
        <v>81558</v>
      </c>
      <c r="I39" s="390">
        <f t="shared" si="13"/>
        <v>73271</v>
      </c>
      <c r="J39" s="34">
        <f t="shared" si="14"/>
        <v>78024</v>
      </c>
      <c r="K39" s="55">
        <f t="shared" si="11"/>
        <v>10911</v>
      </c>
      <c r="L39" s="32">
        <f t="shared" si="12"/>
        <v>10403</v>
      </c>
      <c r="M39" s="55">
        <f t="shared" si="15"/>
        <v>67212</v>
      </c>
      <c r="N39" s="32">
        <f t="shared" si="16"/>
        <v>72338</v>
      </c>
      <c r="O39" s="924">
        <v>703</v>
      </c>
      <c r="P39" s="924">
        <v>769</v>
      </c>
      <c r="Q39" s="924">
        <v>742</v>
      </c>
      <c r="R39" s="924">
        <v>738</v>
      </c>
      <c r="S39" s="924">
        <v>839</v>
      </c>
      <c r="T39" s="924">
        <v>801</v>
      </c>
      <c r="U39" s="924">
        <v>755</v>
      </c>
      <c r="V39" s="924">
        <v>939</v>
      </c>
      <c r="W39" s="924">
        <v>886</v>
      </c>
      <c r="X39" s="924">
        <v>850</v>
      </c>
      <c r="Y39" s="924">
        <v>865</v>
      </c>
      <c r="Z39" s="924">
        <v>963</v>
      </c>
      <c r="AA39" s="924">
        <v>1017</v>
      </c>
      <c r="AB39" s="924">
        <v>972</v>
      </c>
      <c r="AC39" s="924">
        <v>953</v>
      </c>
      <c r="AD39" s="924">
        <v>939</v>
      </c>
      <c r="AE39" s="924">
        <v>971</v>
      </c>
      <c r="AF39" s="924">
        <v>888</v>
      </c>
      <c r="AG39" s="924">
        <v>904</v>
      </c>
      <c r="AH39" s="924">
        <v>856</v>
      </c>
      <c r="AI39" s="924">
        <v>828</v>
      </c>
      <c r="AJ39" s="924">
        <v>793</v>
      </c>
      <c r="AK39" s="924">
        <v>798</v>
      </c>
      <c r="AL39" s="924">
        <v>883</v>
      </c>
      <c r="AM39" s="924">
        <v>815</v>
      </c>
      <c r="AN39" s="924">
        <v>890</v>
      </c>
      <c r="AO39" s="924">
        <v>908</v>
      </c>
      <c r="AP39" s="924">
        <v>878</v>
      </c>
      <c r="AQ39" s="924">
        <v>889</v>
      </c>
      <c r="AR39" s="924">
        <v>875</v>
      </c>
      <c r="AS39" s="924">
        <v>972</v>
      </c>
      <c r="AT39" s="924">
        <v>1046</v>
      </c>
      <c r="AU39" s="924">
        <v>996</v>
      </c>
      <c r="AV39" s="924">
        <v>953</v>
      </c>
      <c r="AW39" s="924">
        <v>969</v>
      </c>
      <c r="AX39" s="924">
        <v>990</v>
      </c>
      <c r="AY39" s="924">
        <v>934</v>
      </c>
      <c r="AZ39" s="924">
        <v>896</v>
      </c>
      <c r="BA39" s="924">
        <v>955</v>
      </c>
      <c r="BB39" s="924">
        <v>938</v>
      </c>
      <c r="BC39" s="924">
        <v>964</v>
      </c>
      <c r="BD39" s="924">
        <v>997</v>
      </c>
      <c r="BE39" s="924">
        <v>993</v>
      </c>
      <c r="BF39" s="924">
        <v>983</v>
      </c>
      <c r="BG39" s="924">
        <v>1008</v>
      </c>
      <c r="BH39" s="924">
        <v>905</v>
      </c>
      <c r="BI39" s="924">
        <v>954</v>
      </c>
      <c r="BJ39" s="924">
        <v>939</v>
      </c>
      <c r="BK39" s="924">
        <v>1058</v>
      </c>
      <c r="BL39" s="924">
        <v>1059</v>
      </c>
      <c r="BM39" s="924">
        <v>1094</v>
      </c>
      <c r="BN39" s="924">
        <v>1144</v>
      </c>
      <c r="BO39" s="924">
        <v>1164</v>
      </c>
      <c r="BP39" s="924">
        <v>1242</v>
      </c>
      <c r="BQ39" s="924">
        <v>1179</v>
      </c>
      <c r="BR39" s="924">
        <v>1182</v>
      </c>
      <c r="BS39" s="924">
        <v>1220</v>
      </c>
      <c r="BT39" s="924">
        <v>1195</v>
      </c>
      <c r="BU39" s="924">
        <v>1248</v>
      </c>
      <c r="BV39" s="924">
        <v>1205</v>
      </c>
      <c r="BW39" s="924">
        <v>1214</v>
      </c>
      <c r="BX39" s="924">
        <v>1138</v>
      </c>
      <c r="BY39" s="924">
        <v>1077</v>
      </c>
      <c r="BZ39" s="924">
        <v>1037</v>
      </c>
      <c r="CA39" s="924">
        <v>1002</v>
      </c>
      <c r="CB39" s="924">
        <v>987</v>
      </c>
      <c r="CC39" s="924">
        <v>919</v>
      </c>
      <c r="CD39" s="924">
        <v>862</v>
      </c>
      <c r="CE39" s="924">
        <v>793</v>
      </c>
      <c r="CF39" s="924">
        <v>777</v>
      </c>
      <c r="CG39" s="924">
        <v>806</v>
      </c>
      <c r="CH39" s="924">
        <v>741</v>
      </c>
      <c r="CI39" s="924">
        <v>739</v>
      </c>
      <c r="CJ39" s="924">
        <v>757</v>
      </c>
      <c r="CK39" s="924">
        <v>767</v>
      </c>
      <c r="CL39" s="924">
        <v>754</v>
      </c>
      <c r="CM39" s="924">
        <v>832</v>
      </c>
      <c r="CN39" s="924">
        <v>564</v>
      </c>
      <c r="CO39" s="924">
        <v>489</v>
      </c>
      <c r="CP39" s="924">
        <v>487</v>
      </c>
      <c r="CQ39" s="924">
        <v>464</v>
      </c>
      <c r="CR39" s="924">
        <v>379</v>
      </c>
      <c r="CS39" s="924">
        <v>323</v>
      </c>
      <c r="CT39" s="924">
        <v>281</v>
      </c>
      <c r="CU39" s="924">
        <v>285</v>
      </c>
      <c r="CV39" s="924">
        <v>243</v>
      </c>
      <c r="CW39" s="924">
        <v>215</v>
      </c>
      <c r="CX39" s="924">
        <v>178</v>
      </c>
      <c r="CY39" s="924">
        <v>147</v>
      </c>
      <c r="CZ39" s="924">
        <v>139</v>
      </c>
      <c r="DA39" s="926">
        <v>377</v>
      </c>
      <c r="DB39" s="39">
        <v>675</v>
      </c>
      <c r="DC39" s="39">
        <v>717</v>
      </c>
      <c r="DD39" s="39">
        <v>703</v>
      </c>
      <c r="DE39" s="39">
        <v>652</v>
      </c>
      <c r="DF39" s="39">
        <v>787</v>
      </c>
      <c r="DG39" s="39">
        <v>771</v>
      </c>
      <c r="DH39" s="39">
        <v>771</v>
      </c>
      <c r="DI39" s="39">
        <v>780</v>
      </c>
      <c r="DJ39" s="39">
        <v>817</v>
      </c>
      <c r="DK39" s="39">
        <v>827</v>
      </c>
      <c r="DL39" s="39">
        <v>817</v>
      </c>
      <c r="DM39" s="39">
        <v>903</v>
      </c>
      <c r="DN39" s="39">
        <v>871</v>
      </c>
      <c r="DO39" s="39">
        <v>973</v>
      </c>
      <c r="DP39" s="39">
        <v>984</v>
      </c>
      <c r="DQ39" s="39">
        <v>975</v>
      </c>
      <c r="DR39" s="39">
        <v>914</v>
      </c>
      <c r="DS39" s="39">
        <v>869</v>
      </c>
      <c r="DT39" s="39">
        <v>810</v>
      </c>
      <c r="DU39" s="39">
        <v>714</v>
      </c>
      <c r="DV39" s="39">
        <v>700</v>
      </c>
      <c r="DW39" s="39">
        <v>673</v>
      </c>
      <c r="DX39" s="39">
        <v>778</v>
      </c>
      <c r="DY39" s="39">
        <v>785</v>
      </c>
      <c r="DZ39" s="39">
        <v>873</v>
      </c>
      <c r="EA39" s="39">
        <v>865</v>
      </c>
      <c r="EB39" s="39">
        <v>908</v>
      </c>
      <c r="EC39" s="39">
        <v>894</v>
      </c>
      <c r="ED39" s="39">
        <v>925</v>
      </c>
      <c r="EE39" s="39">
        <v>1038</v>
      </c>
      <c r="EF39" s="39">
        <v>1073</v>
      </c>
      <c r="EG39" s="39">
        <v>1079</v>
      </c>
      <c r="EH39" s="39">
        <v>1110</v>
      </c>
      <c r="EI39" s="39">
        <v>1061</v>
      </c>
      <c r="EJ39" s="39">
        <v>993</v>
      </c>
      <c r="EK39" s="39">
        <v>1087</v>
      </c>
      <c r="EL39" s="39">
        <v>1004</v>
      </c>
      <c r="EM39" s="39">
        <v>1042</v>
      </c>
      <c r="EN39" s="39">
        <v>1103</v>
      </c>
      <c r="EO39" s="39">
        <v>989</v>
      </c>
      <c r="EP39" s="39">
        <v>1172</v>
      </c>
      <c r="EQ39" s="39">
        <v>1136</v>
      </c>
      <c r="ER39" s="39">
        <v>1102</v>
      </c>
      <c r="ES39" s="39">
        <v>989</v>
      </c>
      <c r="ET39" s="39">
        <v>1059</v>
      </c>
      <c r="EU39" s="39">
        <v>970</v>
      </c>
      <c r="EV39" s="39">
        <v>983</v>
      </c>
      <c r="EW39" s="39">
        <v>1048</v>
      </c>
      <c r="EX39" s="39">
        <v>1072</v>
      </c>
      <c r="EY39" s="39">
        <v>1158</v>
      </c>
      <c r="EZ39" s="39">
        <v>1201</v>
      </c>
      <c r="FA39" s="39">
        <v>1235</v>
      </c>
      <c r="FB39" s="39">
        <v>1248</v>
      </c>
      <c r="FC39" s="39">
        <v>1212</v>
      </c>
      <c r="FD39" s="39">
        <v>1285</v>
      </c>
      <c r="FE39" s="39">
        <v>1346</v>
      </c>
      <c r="FF39" s="39">
        <v>1315</v>
      </c>
      <c r="FG39" s="39">
        <v>1238</v>
      </c>
      <c r="FH39" s="39">
        <v>1222</v>
      </c>
      <c r="FI39" s="39">
        <v>1233</v>
      </c>
      <c r="FJ39" s="39">
        <v>1227</v>
      </c>
      <c r="FK39" s="39">
        <v>1205</v>
      </c>
      <c r="FL39" s="39">
        <v>1162</v>
      </c>
      <c r="FM39" s="39">
        <v>1109</v>
      </c>
      <c r="FN39" s="39">
        <v>1034</v>
      </c>
      <c r="FO39" s="39">
        <v>1016</v>
      </c>
      <c r="FP39" s="39">
        <v>962</v>
      </c>
      <c r="FQ39" s="39">
        <v>1003</v>
      </c>
      <c r="FR39" s="39">
        <v>954</v>
      </c>
      <c r="FS39" s="39">
        <v>878</v>
      </c>
      <c r="FT39" s="39">
        <v>863</v>
      </c>
      <c r="FU39" s="39">
        <v>827</v>
      </c>
      <c r="FV39" s="39">
        <v>911</v>
      </c>
      <c r="FW39" s="39">
        <v>857</v>
      </c>
      <c r="FX39" s="39">
        <v>856</v>
      </c>
      <c r="FY39" s="39">
        <v>863</v>
      </c>
      <c r="FZ39" s="39">
        <v>867</v>
      </c>
      <c r="GA39" s="39">
        <v>646</v>
      </c>
      <c r="GB39" s="39">
        <v>611</v>
      </c>
      <c r="GC39" s="39">
        <v>612</v>
      </c>
      <c r="GD39" s="39">
        <v>563</v>
      </c>
      <c r="GE39" s="39">
        <v>527</v>
      </c>
      <c r="GF39" s="39">
        <v>440</v>
      </c>
      <c r="GG39" s="39">
        <v>422</v>
      </c>
      <c r="GH39" s="39">
        <v>463</v>
      </c>
      <c r="GI39" s="39">
        <v>388</v>
      </c>
      <c r="GJ39" s="39">
        <v>346</v>
      </c>
      <c r="GK39" s="39">
        <v>279</v>
      </c>
      <c r="GL39" s="39">
        <v>248</v>
      </c>
      <c r="GM39" s="39">
        <v>191</v>
      </c>
      <c r="GN39" s="40">
        <v>694</v>
      </c>
    </row>
    <row r="40" spans="1:196" s="1" customFormat="1" x14ac:dyDescent="0.2">
      <c r="A40" s="41" t="s">
        <v>1039</v>
      </c>
      <c r="B40" s="284" t="s">
        <v>1007</v>
      </c>
      <c r="C40" s="24" t="str">
        <f t="shared" si="10"/>
        <v>Council area - Fife</v>
      </c>
      <c r="D40" s="32">
        <f t="shared" si="17"/>
        <v>172187</v>
      </c>
      <c r="E40" s="32">
        <f t="shared" si="17"/>
        <v>184713</v>
      </c>
      <c r="F40" s="33">
        <f t="shared" si="18"/>
        <v>373210</v>
      </c>
      <c r="G40" s="33">
        <f t="shared" si="19"/>
        <v>180554</v>
      </c>
      <c r="H40" s="34">
        <f t="shared" si="20"/>
        <v>192656</v>
      </c>
      <c r="I40" s="390">
        <f t="shared" si="13"/>
        <v>172187</v>
      </c>
      <c r="J40" s="34">
        <f t="shared" si="14"/>
        <v>184713</v>
      </c>
      <c r="K40" s="55">
        <f t="shared" si="11"/>
        <v>25239</v>
      </c>
      <c r="L40" s="32">
        <f t="shared" si="12"/>
        <v>23920</v>
      </c>
      <c r="M40" s="55">
        <f t="shared" si="15"/>
        <v>158181</v>
      </c>
      <c r="N40" s="32">
        <f t="shared" si="16"/>
        <v>171476</v>
      </c>
      <c r="O40" s="924">
        <v>1454</v>
      </c>
      <c r="P40" s="924">
        <v>1631</v>
      </c>
      <c r="Q40" s="924">
        <v>1590</v>
      </c>
      <c r="R40" s="924">
        <v>1842</v>
      </c>
      <c r="S40" s="924">
        <v>1850</v>
      </c>
      <c r="T40" s="924">
        <v>1778</v>
      </c>
      <c r="U40" s="924">
        <v>1950</v>
      </c>
      <c r="V40" s="924">
        <v>1851</v>
      </c>
      <c r="W40" s="924">
        <v>2079</v>
      </c>
      <c r="X40" s="924">
        <v>2107</v>
      </c>
      <c r="Y40" s="924">
        <v>2128</v>
      </c>
      <c r="Z40" s="924">
        <v>2113</v>
      </c>
      <c r="AA40" s="924">
        <v>2316</v>
      </c>
      <c r="AB40" s="924">
        <v>2290</v>
      </c>
      <c r="AC40" s="924">
        <v>2262</v>
      </c>
      <c r="AD40" s="924">
        <v>2242</v>
      </c>
      <c r="AE40" s="924">
        <v>2123</v>
      </c>
      <c r="AF40" s="924">
        <v>2101</v>
      </c>
      <c r="AG40" s="924">
        <v>2013</v>
      </c>
      <c r="AH40" s="924">
        <v>2429</v>
      </c>
      <c r="AI40" s="924">
        <v>2434</v>
      </c>
      <c r="AJ40" s="924">
        <v>2622</v>
      </c>
      <c r="AK40" s="924">
        <v>2427</v>
      </c>
      <c r="AL40" s="924">
        <v>2268</v>
      </c>
      <c r="AM40" s="924">
        <v>2066</v>
      </c>
      <c r="AN40" s="924">
        <v>1886</v>
      </c>
      <c r="AO40" s="924">
        <v>1941</v>
      </c>
      <c r="AP40" s="924">
        <v>2008</v>
      </c>
      <c r="AQ40" s="924">
        <v>1888</v>
      </c>
      <c r="AR40" s="924">
        <v>1896</v>
      </c>
      <c r="AS40" s="924">
        <v>2044</v>
      </c>
      <c r="AT40" s="924">
        <v>1979</v>
      </c>
      <c r="AU40" s="924">
        <v>2077</v>
      </c>
      <c r="AV40" s="924">
        <v>2104</v>
      </c>
      <c r="AW40" s="924">
        <v>2106</v>
      </c>
      <c r="AX40" s="924">
        <v>2240</v>
      </c>
      <c r="AY40" s="924">
        <v>2041</v>
      </c>
      <c r="AZ40" s="924">
        <v>2272</v>
      </c>
      <c r="BA40" s="924">
        <v>2215</v>
      </c>
      <c r="BB40" s="924">
        <v>2138</v>
      </c>
      <c r="BC40" s="924">
        <v>2035</v>
      </c>
      <c r="BD40" s="924">
        <v>2218</v>
      </c>
      <c r="BE40" s="924">
        <v>2157</v>
      </c>
      <c r="BF40" s="924">
        <v>2175</v>
      </c>
      <c r="BG40" s="924">
        <v>2211</v>
      </c>
      <c r="BH40" s="924">
        <v>1941</v>
      </c>
      <c r="BI40" s="924">
        <v>2048</v>
      </c>
      <c r="BJ40" s="924">
        <v>2158</v>
      </c>
      <c r="BK40" s="924">
        <v>2088</v>
      </c>
      <c r="BL40" s="924">
        <v>2204</v>
      </c>
      <c r="BM40" s="924">
        <v>2285</v>
      </c>
      <c r="BN40" s="924">
        <v>2334</v>
      </c>
      <c r="BO40" s="924">
        <v>2568</v>
      </c>
      <c r="BP40" s="924">
        <v>2610</v>
      </c>
      <c r="BQ40" s="924">
        <v>2709</v>
      </c>
      <c r="BR40" s="924">
        <v>2729</v>
      </c>
      <c r="BS40" s="924">
        <v>2771</v>
      </c>
      <c r="BT40" s="924">
        <v>2716</v>
      </c>
      <c r="BU40" s="924">
        <v>2800</v>
      </c>
      <c r="BV40" s="924">
        <v>2771</v>
      </c>
      <c r="BW40" s="924">
        <v>2613</v>
      </c>
      <c r="BX40" s="924">
        <v>2612</v>
      </c>
      <c r="BY40" s="924">
        <v>2571</v>
      </c>
      <c r="BZ40" s="924">
        <v>2640</v>
      </c>
      <c r="CA40" s="924">
        <v>2488</v>
      </c>
      <c r="CB40" s="924">
        <v>2431</v>
      </c>
      <c r="CC40" s="924">
        <v>2322</v>
      </c>
      <c r="CD40" s="924">
        <v>2191</v>
      </c>
      <c r="CE40" s="924">
        <v>2120</v>
      </c>
      <c r="CF40" s="924">
        <v>2052</v>
      </c>
      <c r="CG40" s="924">
        <v>1954</v>
      </c>
      <c r="CH40" s="924">
        <v>1863</v>
      </c>
      <c r="CI40" s="924">
        <v>1947</v>
      </c>
      <c r="CJ40" s="924">
        <v>1853</v>
      </c>
      <c r="CK40" s="924">
        <v>1963</v>
      </c>
      <c r="CL40" s="924">
        <v>1975</v>
      </c>
      <c r="CM40" s="924">
        <v>2156</v>
      </c>
      <c r="CN40" s="924">
        <v>1525</v>
      </c>
      <c r="CO40" s="924">
        <v>1431</v>
      </c>
      <c r="CP40" s="924">
        <v>1318</v>
      </c>
      <c r="CQ40" s="924">
        <v>1139</v>
      </c>
      <c r="CR40" s="924">
        <v>1103</v>
      </c>
      <c r="CS40" s="924">
        <v>806</v>
      </c>
      <c r="CT40" s="924">
        <v>827</v>
      </c>
      <c r="CU40" s="924">
        <v>746</v>
      </c>
      <c r="CV40" s="924">
        <v>675</v>
      </c>
      <c r="CW40" s="924">
        <v>538</v>
      </c>
      <c r="CX40" s="924">
        <v>483</v>
      </c>
      <c r="CY40" s="924">
        <v>438</v>
      </c>
      <c r="CZ40" s="924">
        <v>344</v>
      </c>
      <c r="DA40" s="926">
        <v>1101</v>
      </c>
      <c r="DB40" s="39">
        <v>1495</v>
      </c>
      <c r="DC40" s="39">
        <v>1482</v>
      </c>
      <c r="DD40" s="39">
        <v>1557</v>
      </c>
      <c r="DE40" s="39">
        <v>1613</v>
      </c>
      <c r="DF40" s="39">
        <v>1796</v>
      </c>
      <c r="DG40" s="39">
        <v>1711</v>
      </c>
      <c r="DH40" s="39">
        <v>1746</v>
      </c>
      <c r="DI40" s="39">
        <v>1803</v>
      </c>
      <c r="DJ40" s="39">
        <v>2075</v>
      </c>
      <c r="DK40" s="39">
        <v>1928</v>
      </c>
      <c r="DL40" s="39">
        <v>2027</v>
      </c>
      <c r="DM40" s="39">
        <v>1947</v>
      </c>
      <c r="DN40" s="39">
        <v>2180</v>
      </c>
      <c r="DO40" s="39">
        <v>2110</v>
      </c>
      <c r="DP40" s="39">
        <v>2152</v>
      </c>
      <c r="DQ40" s="39">
        <v>2171</v>
      </c>
      <c r="DR40" s="39">
        <v>2070</v>
      </c>
      <c r="DS40" s="39">
        <v>2072</v>
      </c>
      <c r="DT40" s="39">
        <v>1998</v>
      </c>
      <c r="DU40" s="39">
        <v>2464</v>
      </c>
      <c r="DV40" s="39">
        <v>2466</v>
      </c>
      <c r="DW40" s="39">
        <v>2861</v>
      </c>
      <c r="DX40" s="39">
        <v>2328</v>
      </c>
      <c r="DY40" s="39">
        <v>2317</v>
      </c>
      <c r="DZ40" s="39">
        <v>1969</v>
      </c>
      <c r="EA40" s="39">
        <v>2021</v>
      </c>
      <c r="EB40" s="39">
        <v>2000</v>
      </c>
      <c r="EC40" s="39">
        <v>2031</v>
      </c>
      <c r="ED40" s="39">
        <v>1997</v>
      </c>
      <c r="EE40" s="39">
        <v>2106</v>
      </c>
      <c r="EF40" s="39">
        <v>2165</v>
      </c>
      <c r="EG40" s="39">
        <v>2091</v>
      </c>
      <c r="EH40" s="39">
        <v>2337</v>
      </c>
      <c r="EI40" s="39">
        <v>2243</v>
      </c>
      <c r="EJ40" s="39">
        <v>2313</v>
      </c>
      <c r="EK40" s="39">
        <v>2433</v>
      </c>
      <c r="EL40" s="39">
        <v>2259</v>
      </c>
      <c r="EM40" s="39">
        <v>2359</v>
      </c>
      <c r="EN40" s="39">
        <v>2345</v>
      </c>
      <c r="EO40" s="39">
        <v>2251</v>
      </c>
      <c r="EP40" s="39">
        <v>2378</v>
      </c>
      <c r="EQ40" s="39">
        <v>2317</v>
      </c>
      <c r="ER40" s="39">
        <v>2437</v>
      </c>
      <c r="ES40" s="39">
        <v>2392</v>
      </c>
      <c r="ET40" s="39">
        <v>2393</v>
      </c>
      <c r="EU40" s="39">
        <v>2076</v>
      </c>
      <c r="EV40" s="39">
        <v>2052</v>
      </c>
      <c r="EW40" s="39">
        <v>2283</v>
      </c>
      <c r="EX40" s="39">
        <v>2336</v>
      </c>
      <c r="EY40" s="39">
        <v>2279</v>
      </c>
      <c r="EZ40" s="39">
        <v>2460</v>
      </c>
      <c r="FA40" s="39">
        <v>2608</v>
      </c>
      <c r="FB40" s="39">
        <v>2814</v>
      </c>
      <c r="FC40" s="39">
        <v>2728</v>
      </c>
      <c r="FD40" s="39">
        <v>2846</v>
      </c>
      <c r="FE40" s="39">
        <v>2901</v>
      </c>
      <c r="FF40" s="39">
        <v>2820</v>
      </c>
      <c r="FG40" s="39">
        <v>2962</v>
      </c>
      <c r="FH40" s="39">
        <v>3058</v>
      </c>
      <c r="FI40" s="39">
        <v>2920</v>
      </c>
      <c r="FJ40" s="39">
        <v>2966</v>
      </c>
      <c r="FK40" s="39">
        <v>2798</v>
      </c>
      <c r="FL40" s="39">
        <v>2651</v>
      </c>
      <c r="FM40" s="39">
        <v>2717</v>
      </c>
      <c r="FN40" s="39">
        <v>2696</v>
      </c>
      <c r="FO40" s="39">
        <v>2601</v>
      </c>
      <c r="FP40" s="39">
        <v>2376</v>
      </c>
      <c r="FQ40" s="39">
        <v>2393</v>
      </c>
      <c r="FR40" s="39">
        <v>2307</v>
      </c>
      <c r="FS40" s="39">
        <v>2259</v>
      </c>
      <c r="FT40" s="39">
        <v>2188</v>
      </c>
      <c r="FU40" s="39">
        <v>2149</v>
      </c>
      <c r="FV40" s="39">
        <v>2162</v>
      </c>
      <c r="FW40" s="39">
        <v>2115</v>
      </c>
      <c r="FX40" s="39">
        <v>2200</v>
      </c>
      <c r="FY40" s="39">
        <v>2266</v>
      </c>
      <c r="FZ40" s="39">
        <v>2411</v>
      </c>
      <c r="GA40" s="39">
        <v>1713</v>
      </c>
      <c r="GB40" s="39">
        <v>1669</v>
      </c>
      <c r="GC40" s="39">
        <v>1648</v>
      </c>
      <c r="GD40" s="39">
        <v>1468</v>
      </c>
      <c r="GE40" s="39">
        <v>1353</v>
      </c>
      <c r="GF40" s="39">
        <v>1075</v>
      </c>
      <c r="GG40" s="39">
        <v>1120</v>
      </c>
      <c r="GH40" s="39">
        <v>1033</v>
      </c>
      <c r="GI40" s="39">
        <v>907</v>
      </c>
      <c r="GJ40" s="39">
        <v>827</v>
      </c>
      <c r="GK40" s="39">
        <v>801</v>
      </c>
      <c r="GL40" s="39">
        <v>645</v>
      </c>
      <c r="GM40" s="39">
        <v>588</v>
      </c>
      <c r="GN40" s="40">
        <v>2205</v>
      </c>
    </row>
    <row r="41" spans="1:196" s="1" customFormat="1" x14ac:dyDescent="0.2">
      <c r="A41" s="41" t="s">
        <v>1039</v>
      </c>
      <c r="B41" s="284" t="s">
        <v>1008</v>
      </c>
      <c r="C41" s="24" t="str">
        <f t="shared" si="10"/>
        <v>Council area - Glasgow City</v>
      </c>
      <c r="D41" s="32">
        <f t="shared" si="17"/>
        <v>295546</v>
      </c>
      <c r="E41" s="32">
        <f t="shared" si="17"/>
        <v>306763</v>
      </c>
      <c r="F41" s="33">
        <f t="shared" si="18"/>
        <v>631970</v>
      </c>
      <c r="G41" s="33">
        <f t="shared" si="19"/>
        <v>310792</v>
      </c>
      <c r="H41" s="34">
        <f t="shared" si="20"/>
        <v>321178</v>
      </c>
      <c r="I41" s="390">
        <f t="shared" si="13"/>
        <v>295546</v>
      </c>
      <c r="J41" s="34">
        <f t="shared" si="14"/>
        <v>306763</v>
      </c>
      <c r="K41" s="55">
        <f t="shared" si="11"/>
        <v>37502</v>
      </c>
      <c r="L41" s="32">
        <f t="shared" si="12"/>
        <v>36017</v>
      </c>
      <c r="M41" s="55">
        <f t="shared" si="15"/>
        <v>273831</v>
      </c>
      <c r="N41" s="32">
        <f t="shared" si="16"/>
        <v>285799</v>
      </c>
      <c r="O41" s="924">
        <v>3072</v>
      </c>
      <c r="P41" s="924">
        <v>3147</v>
      </c>
      <c r="Q41" s="924">
        <v>3033</v>
      </c>
      <c r="R41" s="924">
        <v>2871</v>
      </c>
      <c r="S41" s="924">
        <v>3123</v>
      </c>
      <c r="T41" s="924">
        <v>2940</v>
      </c>
      <c r="U41" s="924">
        <v>3008</v>
      </c>
      <c r="V41" s="924">
        <v>3212</v>
      </c>
      <c r="W41" s="924">
        <v>3090</v>
      </c>
      <c r="X41" s="924">
        <v>3192</v>
      </c>
      <c r="Y41" s="924">
        <v>3168</v>
      </c>
      <c r="Z41" s="924">
        <v>3105</v>
      </c>
      <c r="AA41" s="924">
        <v>3264</v>
      </c>
      <c r="AB41" s="924">
        <v>3109</v>
      </c>
      <c r="AC41" s="924">
        <v>3171</v>
      </c>
      <c r="AD41" s="924">
        <v>3152</v>
      </c>
      <c r="AE41" s="924">
        <v>3091</v>
      </c>
      <c r="AF41" s="924">
        <v>3221</v>
      </c>
      <c r="AG41" s="924">
        <v>3267</v>
      </c>
      <c r="AH41" s="924">
        <v>4533</v>
      </c>
      <c r="AI41" s="924">
        <v>5694</v>
      </c>
      <c r="AJ41" s="924">
        <v>5442</v>
      </c>
      <c r="AK41" s="924">
        <v>5712</v>
      </c>
      <c r="AL41" s="924">
        <v>6214</v>
      </c>
      <c r="AM41" s="924">
        <v>6333</v>
      </c>
      <c r="AN41" s="924">
        <v>6601</v>
      </c>
      <c r="AO41" s="924">
        <v>6296</v>
      </c>
      <c r="AP41" s="924">
        <v>6267</v>
      </c>
      <c r="AQ41" s="924">
        <v>6233</v>
      </c>
      <c r="AR41" s="924">
        <v>5978</v>
      </c>
      <c r="AS41" s="924">
        <v>5793</v>
      </c>
      <c r="AT41" s="924">
        <v>5954</v>
      </c>
      <c r="AU41" s="924">
        <v>5690</v>
      </c>
      <c r="AV41" s="924">
        <v>5652</v>
      </c>
      <c r="AW41" s="924">
        <v>5411</v>
      </c>
      <c r="AX41" s="924">
        <v>5484</v>
      </c>
      <c r="AY41" s="924">
        <v>5097</v>
      </c>
      <c r="AZ41" s="924">
        <v>4863</v>
      </c>
      <c r="BA41" s="924">
        <v>4866</v>
      </c>
      <c r="BB41" s="924">
        <v>4514</v>
      </c>
      <c r="BC41" s="924">
        <v>4384</v>
      </c>
      <c r="BD41" s="924">
        <v>4098</v>
      </c>
      <c r="BE41" s="924">
        <v>4058</v>
      </c>
      <c r="BF41" s="924">
        <v>3906</v>
      </c>
      <c r="BG41" s="924">
        <v>3924</v>
      </c>
      <c r="BH41" s="924">
        <v>3314</v>
      </c>
      <c r="BI41" s="924">
        <v>3142</v>
      </c>
      <c r="BJ41" s="924">
        <v>3459</v>
      </c>
      <c r="BK41" s="924">
        <v>3391</v>
      </c>
      <c r="BL41" s="924">
        <v>3487</v>
      </c>
      <c r="BM41" s="924">
        <v>3459</v>
      </c>
      <c r="BN41" s="924">
        <v>3581</v>
      </c>
      <c r="BO41" s="924">
        <v>3652</v>
      </c>
      <c r="BP41" s="924">
        <v>3761</v>
      </c>
      <c r="BQ41" s="924">
        <v>3956</v>
      </c>
      <c r="BR41" s="924">
        <v>3857</v>
      </c>
      <c r="BS41" s="924">
        <v>3893</v>
      </c>
      <c r="BT41" s="924">
        <v>3886</v>
      </c>
      <c r="BU41" s="924">
        <v>3863</v>
      </c>
      <c r="BV41" s="924">
        <v>3951</v>
      </c>
      <c r="BW41" s="924">
        <v>3789</v>
      </c>
      <c r="BX41" s="924">
        <v>3767</v>
      </c>
      <c r="BY41" s="924">
        <v>3604</v>
      </c>
      <c r="BZ41" s="924">
        <v>3557</v>
      </c>
      <c r="CA41" s="924">
        <v>3433</v>
      </c>
      <c r="CB41" s="924">
        <v>3239</v>
      </c>
      <c r="CC41" s="924">
        <v>2985</v>
      </c>
      <c r="CD41" s="924">
        <v>2922</v>
      </c>
      <c r="CE41" s="924">
        <v>2735</v>
      </c>
      <c r="CF41" s="924">
        <v>2490</v>
      </c>
      <c r="CG41" s="924">
        <v>2443</v>
      </c>
      <c r="CH41" s="924">
        <v>2218</v>
      </c>
      <c r="CI41" s="924">
        <v>2050</v>
      </c>
      <c r="CJ41" s="924">
        <v>1916</v>
      </c>
      <c r="CK41" s="924">
        <v>1831</v>
      </c>
      <c r="CL41" s="924">
        <v>1852</v>
      </c>
      <c r="CM41" s="924">
        <v>1840</v>
      </c>
      <c r="CN41" s="924">
        <v>1344</v>
      </c>
      <c r="CO41" s="924">
        <v>1187</v>
      </c>
      <c r="CP41" s="924">
        <v>1134</v>
      </c>
      <c r="CQ41" s="924">
        <v>1039</v>
      </c>
      <c r="CR41" s="924">
        <v>967</v>
      </c>
      <c r="CS41" s="924">
        <v>770</v>
      </c>
      <c r="CT41" s="924">
        <v>711</v>
      </c>
      <c r="CU41" s="924">
        <v>722</v>
      </c>
      <c r="CV41" s="924">
        <v>606</v>
      </c>
      <c r="CW41" s="924">
        <v>505</v>
      </c>
      <c r="CX41" s="924">
        <v>453</v>
      </c>
      <c r="CY41" s="924">
        <v>381</v>
      </c>
      <c r="CZ41" s="924">
        <v>312</v>
      </c>
      <c r="DA41" s="926">
        <v>1105</v>
      </c>
      <c r="DB41" s="39">
        <v>2906</v>
      </c>
      <c r="DC41" s="39">
        <v>2801</v>
      </c>
      <c r="DD41" s="39">
        <v>2836</v>
      </c>
      <c r="DE41" s="39">
        <v>2847</v>
      </c>
      <c r="DF41" s="39">
        <v>3025</v>
      </c>
      <c r="DG41" s="39">
        <v>2818</v>
      </c>
      <c r="DH41" s="39">
        <v>2887</v>
      </c>
      <c r="DI41" s="39">
        <v>3084</v>
      </c>
      <c r="DJ41" s="39">
        <v>3007</v>
      </c>
      <c r="DK41" s="39">
        <v>2980</v>
      </c>
      <c r="DL41" s="39">
        <v>3114</v>
      </c>
      <c r="DM41" s="39">
        <v>3074</v>
      </c>
      <c r="DN41" s="39">
        <v>3067</v>
      </c>
      <c r="DO41" s="39">
        <v>3092</v>
      </c>
      <c r="DP41" s="39">
        <v>2993</v>
      </c>
      <c r="DQ41" s="39">
        <v>3067</v>
      </c>
      <c r="DR41" s="39">
        <v>2834</v>
      </c>
      <c r="DS41" s="39">
        <v>2892</v>
      </c>
      <c r="DT41" s="39">
        <v>3241</v>
      </c>
      <c r="DU41" s="39">
        <v>4733</v>
      </c>
      <c r="DV41" s="39">
        <v>6021</v>
      </c>
      <c r="DW41" s="39">
        <v>5615</v>
      </c>
      <c r="DX41" s="39">
        <v>5890</v>
      </c>
      <c r="DY41" s="39">
        <v>6405</v>
      </c>
      <c r="DZ41" s="39">
        <v>6942</v>
      </c>
      <c r="EA41" s="39">
        <v>6607</v>
      </c>
      <c r="EB41" s="39">
        <v>6583</v>
      </c>
      <c r="EC41" s="39">
        <v>6386</v>
      </c>
      <c r="ED41" s="39">
        <v>6030</v>
      </c>
      <c r="EE41" s="39">
        <v>6013</v>
      </c>
      <c r="EF41" s="39">
        <v>5985</v>
      </c>
      <c r="EG41" s="39">
        <v>5999</v>
      </c>
      <c r="EH41" s="39">
        <v>5653</v>
      </c>
      <c r="EI41" s="39">
        <v>5397</v>
      </c>
      <c r="EJ41" s="39">
        <v>5325</v>
      </c>
      <c r="EK41" s="39">
        <v>5210</v>
      </c>
      <c r="EL41" s="39">
        <v>4885</v>
      </c>
      <c r="EM41" s="39">
        <v>4616</v>
      </c>
      <c r="EN41" s="39">
        <v>4648</v>
      </c>
      <c r="EO41" s="39">
        <v>4420</v>
      </c>
      <c r="EP41" s="39">
        <v>4200</v>
      </c>
      <c r="EQ41" s="39">
        <v>4116</v>
      </c>
      <c r="ER41" s="39">
        <v>4071</v>
      </c>
      <c r="ES41" s="39">
        <v>3886</v>
      </c>
      <c r="ET41" s="39">
        <v>3863</v>
      </c>
      <c r="EU41" s="39">
        <v>3545</v>
      </c>
      <c r="EV41" s="39">
        <v>3303</v>
      </c>
      <c r="EW41" s="39">
        <v>3486</v>
      </c>
      <c r="EX41" s="39">
        <v>3301</v>
      </c>
      <c r="EY41" s="39">
        <v>3312</v>
      </c>
      <c r="EZ41" s="39">
        <v>3508</v>
      </c>
      <c r="FA41" s="39">
        <v>3735</v>
      </c>
      <c r="FB41" s="39">
        <v>3930</v>
      </c>
      <c r="FC41" s="39">
        <v>3902</v>
      </c>
      <c r="FD41" s="39">
        <v>4066</v>
      </c>
      <c r="FE41" s="39">
        <v>4170</v>
      </c>
      <c r="FF41" s="39">
        <v>3922</v>
      </c>
      <c r="FG41" s="39">
        <v>4057</v>
      </c>
      <c r="FH41" s="39">
        <v>4162</v>
      </c>
      <c r="FI41" s="39">
        <v>4296</v>
      </c>
      <c r="FJ41" s="39">
        <v>4025</v>
      </c>
      <c r="FK41" s="39">
        <v>3979</v>
      </c>
      <c r="FL41" s="39">
        <v>3866</v>
      </c>
      <c r="FM41" s="39">
        <v>3686</v>
      </c>
      <c r="FN41" s="39">
        <v>3648</v>
      </c>
      <c r="FO41" s="39">
        <v>3427</v>
      </c>
      <c r="FP41" s="39">
        <v>3213</v>
      </c>
      <c r="FQ41" s="39">
        <v>3255</v>
      </c>
      <c r="FR41" s="39">
        <v>2876</v>
      </c>
      <c r="FS41" s="39">
        <v>2744</v>
      </c>
      <c r="FT41" s="39">
        <v>2454</v>
      </c>
      <c r="FU41" s="39">
        <v>2354</v>
      </c>
      <c r="FV41" s="39">
        <v>2249</v>
      </c>
      <c r="FW41" s="39">
        <v>2212</v>
      </c>
      <c r="FX41" s="39">
        <v>2179</v>
      </c>
      <c r="FY41" s="39">
        <v>2125</v>
      </c>
      <c r="FZ41" s="39">
        <v>2195</v>
      </c>
      <c r="GA41" s="39">
        <v>1678</v>
      </c>
      <c r="GB41" s="39">
        <v>1624</v>
      </c>
      <c r="GC41" s="39">
        <v>1536</v>
      </c>
      <c r="GD41" s="39">
        <v>1494</v>
      </c>
      <c r="GE41" s="39">
        <v>1308</v>
      </c>
      <c r="GF41" s="39">
        <v>1207</v>
      </c>
      <c r="GG41" s="39">
        <v>1287</v>
      </c>
      <c r="GH41" s="39">
        <v>1138</v>
      </c>
      <c r="GI41" s="39">
        <v>1035</v>
      </c>
      <c r="GJ41" s="39">
        <v>900</v>
      </c>
      <c r="GK41" s="39">
        <v>834</v>
      </c>
      <c r="GL41" s="39">
        <v>815</v>
      </c>
      <c r="GM41" s="39">
        <v>651</v>
      </c>
      <c r="GN41" s="40">
        <v>2425</v>
      </c>
    </row>
    <row r="42" spans="1:196" s="1" customFormat="1" x14ac:dyDescent="0.2">
      <c r="A42" s="41" t="s">
        <v>1039</v>
      </c>
      <c r="B42" s="284" t="s">
        <v>1009</v>
      </c>
      <c r="C42" s="24" t="str">
        <f t="shared" si="10"/>
        <v>Council area - Highland</v>
      </c>
      <c r="D42" s="32">
        <f t="shared" si="17"/>
        <v>110710</v>
      </c>
      <c r="E42" s="32">
        <f t="shared" si="17"/>
        <v>115834</v>
      </c>
      <c r="F42" s="33">
        <f t="shared" si="18"/>
        <v>236330</v>
      </c>
      <c r="G42" s="33">
        <f t="shared" si="19"/>
        <v>115779</v>
      </c>
      <c r="H42" s="34">
        <f t="shared" si="20"/>
        <v>120551</v>
      </c>
      <c r="I42" s="390">
        <f t="shared" si="13"/>
        <v>110710</v>
      </c>
      <c r="J42" s="34">
        <f t="shared" si="14"/>
        <v>115834</v>
      </c>
      <c r="K42" s="55">
        <f t="shared" si="11"/>
        <v>15268</v>
      </c>
      <c r="L42" s="32">
        <f t="shared" si="12"/>
        <v>14479</v>
      </c>
      <c r="M42" s="55">
        <f t="shared" si="15"/>
        <v>102207</v>
      </c>
      <c r="N42" s="32">
        <f t="shared" si="16"/>
        <v>107718</v>
      </c>
      <c r="O42" s="924">
        <v>956</v>
      </c>
      <c r="P42" s="924">
        <v>1011</v>
      </c>
      <c r="Q42" s="924">
        <v>986</v>
      </c>
      <c r="R42" s="924">
        <v>1005</v>
      </c>
      <c r="S42" s="924">
        <v>1111</v>
      </c>
      <c r="T42" s="924">
        <v>1061</v>
      </c>
      <c r="U42" s="924">
        <v>1147</v>
      </c>
      <c r="V42" s="924">
        <v>1225</v>
      </c>
      <c r="W42" s="924">
        <v>1275</v>
      </c>
      <c r="X42" s="924">
        <v>1236</v>
      </c>
      <c r="Y42" s="924">
        <v>1206</v>
      </c>
      <c r="Z42" s="924">
        <v>1353</v>
      </c>
      <c r="AA42" s="924">
        <v>1331</v>
      </c>
      <c r="AB42" s="924">
        <v>1325</v>
      </c>
      <c r="AC42" s="924">
        <v>1415</v>
      </c>
      <c r="AD42" s="924">
        <v>1357</v>
      </c>
      <c r="AE42" s="924">
        <v>1337</v>
      </c>
      <c r="AF42" s="924">
        <v>1334</v>
      </c>
      <c r="AG42" s="924">
        <v>1242</v>
      </c>
      <c r="AH42" s="924">
        <v>1106</v>
      </c>
      <c r="AI42" s="924">
        <v>1008</v>
      </c>
      <c r="AJ42" s="924">
        <v>1032</v>
      </c>
      <c r="AK42" s="924">
        <v>1147</v>
      </c>
      <c r="AL42" s="924">
        <v>1152</v>
      </c>
      <c r="AM42" s="924">
        <v>1150</v>
      </c>
      <c r="AN42" s="924">
        <v>1168</v>
      </c>
      <c r="AO42" s="924">
        <v>1120</v>
      </c>
      <c r="AP42" s="924">
        <v>1080</v>
      </c>
      <c r="AQ42" s="924">
        <v>1189</v>
      </c>
      <c r="AR42" s="924">
        <v>1285</v>
      </c>
      <c r="AS42" s="924">
        <v>1203</v>
      </c>
      <c r="AT42" s="924">
        <v>1330</v>
      </c>
      <c r="AU42" s="924">
        <v>1325</v>
      </c>
      <c r="AV42" s="924">
        <v>1341</v>
      </c>
      <c r="AW42" s="924">
        <v>1308</v>
      </c>
      <c r="AX42" s="924">
        <v>1330</v>
      </c>
      <c r="AY42" s="924">
        <v>1363</v>
      </c>
      <c r="AZ42" s="924">
        <v>1354</v>
      </c>
      <c r="BA42" s="924">
        <v>1333</v>
      </c>
      <c r="BB42" s="924">
        <v>1366</v>
      </c>
      <c r="BC42" s="924">
        <v>1330</v>
      </c>
      <c r="BD42" s="924">
        <v>1384</v>
      </c>
      <c r="BE42" s="924">
        <v>1487</v>
      </c>
      <c r="BF42" s="924">
        <v>1420</v>
      </c>
      <c r="BG42" s="924">
        <v>1393</v>
      </c>
      <c r="BH42" s="924">
        <v>1259</v>
      </c>
      <c r="BI42" s="924">
        <v>1262</v>
      </c>
      <c r="BJ42" s="924">
        <v>1463</v>
      </c>
      <c r="BK42" s="924">
        <v>1410</v>
      </c>
      <c r="BL42" s="924">
        <v>1366</v>
      </c>
      <c r="BM42" s="924">
        <v>1498</v>
      </c>
      <c r="BN42" s="924">
        <v>1597</v>
      </c>
      <c r="BO42" s="924">
        <v>1707</v>
      </c>
      <c r="BP42" s="924">
        <v>1683</v>
      </c>
      <c r="BQ42" s="924">
        <v>1724</v>
      </c>
      <c r="BR42" s="924">
        <v>1876</v>
      </c>
      <c r="BS42" s="924">
        <v>1861</v>
      </c>
      <c r="BT42" s="924">
        <v>1905</v>
      </c>
      <c r="BU42" s="924">
        <v>1925</v>
      </c>
      <c r="BV42" s="924">
        <v>1917</v>
      </c>
      <c r="BW42" s="924">
        <v>1928</v>
      </c>
      <c r="BX42" s="924">
        <v>1861</v>
      </c>
      <c r="BY42" s="924">
        <v>1797</v>
      </c>
      <c r="BZ42" s="924">
        <v>1734</v>
      </c>
      <c r="CA42" s="924">
        <v>1706</v>
      </c>
      <c r="CB42" s="924">
        <v>1680</v>
      </c>
      <c r="CC42" s="924">
        <v>1670</v>
      </c>
      <c r="CD42" s="924">
        <v>1608</v>
      </c>
      <c r="CE42" s="924">
        <v>1515</v>
      </c>
      <c r="CF42" s="924">
        <v>1539</v>
      </c>
      <c r="CG42" s="924">
        <v>1464</v>
      </c>
      <c r="CH42" s="924">
        <v>1440</v>
      </c>
      <c r="CI42" s="924">
        <v>1364</v>
      </c>
      <c r="CJ42" s="924">
        <v>1387</v>
      </c>
      <c r="CK42" s="924">
        <v>1427</v>
      </c>
      <c r="CL42" s="924">
        <v>1442</v>
      </c>
      <c r="CM42" s="924">
        <v>1378</v>
      </c>
      <c r="CN42" s="924">
        <v>1040</v>
      </c>
      <c r="CO42" s="924">
        <v>950</v>
      </c>
      <c r="CP42" s="924">
        <v>984</v>
      </c>
      <c r="CQ42" s="924">
        <v>882</v>
      </c>
      <c r="CR42" s="924">
        <v>750</v>
      </c>
      <c r="CS42" s="924">
        <v>594</v>
      </c>
      <c r="CT42" s="924">
        <v>586</v>
      </c>
      <c r="CU42" s="924">
        <v>515</v>
      </c>
      <c r="CV42" s="924">
        <v>424</v>
      </c>
      <c r="CW42" s="924">
        <v>419</v>
      </c>
      <c r="CX42" s="924">
        <v>304</v>
      </c>
      <c r="CY42" s="924">
        <v>290</v>
      </c>
      <c r="CZ42" s="924">
        <v>250</v>
      </c>
      <c r="DA42" s="926">
        <v>781</v>
      </c>
      <c r="DB42" s="39">
        <v>866</v>
      </c>
      <c r="DC42" s="39">
        <v>976</v>
      </c>
      <c r="DD42" s="39">
        <v>898</v>
      </c>
      <c r="DE42" s="39">
        <v>961</v>
      </c>
      <c r="DF42" s="39">
        <v>1016</v>
      </c>
      <c r="DG42" s="39">
        <v>1063</v>
      </c>
      <c r="DH42" s="39">
        <v>1004</v>
      </c>
      <c r="DI42" s="39">
        <v>1193</v>
      </c>
      <c r="DJ42" s="39">
        <v>1253</v>
      </c>
      <c r="DK42" s="39">
        <v>1133</v>
      </c>
      <c r="DL42" s="39">
        <v>1223</v>
      </c>
      <c r="DM42" s="39">
        <v>1247</v>
      </c>
      <c r="DN42" s="39">
        <v>1240</v>
      </c>
      <c r="DO42" s="39">
        <v>1320</v>
      </c>
      <c r="DP42" s="39">
        <v>1275</v>
      </c>
      <c r="DQ42" s="39">
        <v>1283</v>
      </c>
      <c r="DR42" s="39">
        <v>1245</v>
      </c>
      <c r="DS42" s="39">
        <v>1248</v>
      </c>
      <c r="DT42" s="39">
        <v>1119</v>
      </c>
      <c r="DU42" s="39">
        <v>985</v>
      </c>
      <c r="DV42" s="39">
        <v>872</v>
      </c>
      <c r="DW42" s="39">
        <v>909</v>
      </c>
      <c r="DX42" s="39">
        <v>882</v>
      </c>
      <c r="DY42" s="39">
        <v>1013</v>
      </c>
      <c r="DZ42" s="39">
        <v>1018</v>
      </c>
      <c r="EA42" s="39">
        <v>1083</v>
      </c>
      <c r="EB42" s="39">
        <v>1115</v>
      </c>
      <c r="EC42" s="39">
        <v>1145</v>
      </c>
      <c r="ED42" s="39">
        <v>1160</v>
      </c>
      <c r="EE42" s="39">
        <v>1236</v>
      </c>
      <c r="EF42" s="39">
        <v>1305</v>
      </c>
      <c r="EG42" s="39">
        <v>1384</v>
      </c>
      <c r="EH42" s="39">
        <v>1328</v>
      </c>
      <c r="EI42" s="39">
        <v>1313</v>
      </c>
      <c r="EJ42" s="39">
        <v>1370</v>
      </c>
      <c r="EK42" s="39">
        <v>1380</v>
      </c>
      <c r="EL42" s="39">
        <v>1404</v>
      </c>
      <c r="EM42" s="39">
        <v>1448</v>
      </c>
      <c r="EN42" s="39">
        <v>1438</v>
      </c>
      <c r="EO42" s="39">
        <v>1443</v>
      </c>
      <c r="EP42" s="39">
        <v>1457</v>
      </c>
      <c r="EQ42" s="39">
        <v>1558</v>
      </c>
      <c r="ER42" s="39">
        <v>1529</v>
      </c>
      <c r="ES42" s="39">
        <v>1550</v>
      </c>
      <c r="ET42" s="39">
        <v>1426</v>
      </c>
      <c r="EU42" s="39">
        <v>1335</v>
      </c>
      <c r="EV42" s="39">
        <v>1387</v>
      </c>
      <c r="EW42" s="39">
        <v>1438</v>
      </c>
      <c r="EX42" s="39">
        <v>1462</v>
      </c>
      <c r="EY42" s="39">
        <v>1544</v>
      </c>
      <c r="EZ42" s="39">
        <v>1642</v>
      </c>
      <c r="FA42" s="39">
        <v>1789</v>
      </c>
      <c r="FB42" s="39">
        <v>1801</v>
      </c>
      <c r="FC42" s="39">
        <v>1901</v>
      </c>
      <c r="FD42" s="39">
        <v>1920</v>
      </c>
      <c r="FE42" s="39">
        <v>1969</v>
      </c>
      <c r="FF42" s="39">
        <v>1943</v>
      </c>
      <c r="FG42" s="39">
        <v>1968</v>
      </c>
      <c r="FH42" s="39">
        <v>2105</v>
      </c>
      <c r="FI42" s="39">
        <v>2176</v>
      </c>
      <c r="FJ42" s="39">
        <v>1946</v>
      </c>
      <c r="FK42" s="39">
        <v>1824</v>
      </c>
      <c r="FL42" s="39">
        <v>1920</v>
      </c>
      <c r="FM42" s="39">
        <v>1798</v>
      </c>
      <c r="FN42" s="39">
        <v>1832</v>
      </c>
      <c r="FO42" s="39">
        <v>1804</v>
      </c>
      <c r="FP42" s="39">
        <v>1655</v>
      </c>
      <c r="FQ42" s="39">
        <v>1648</v>
      </c>
      <c r="FR42" s="39">
        <v>1602</v>
      </c>
      <c r="FS42" s="39">
        <v>1578</v>
      </c>
      <c r="FT42" s="39">
        <v>1649</v>
      </c>
      <c r="FU42" s="39">
        <v>1481</v>
      </c>
      <c r="FV42" s="39">
        <v>1462</v>
      </c>
      <c r="FW42" s="39">
        <v>1458</v>
      </c>
      <c r="FX42" s="39">
        <v>1424</v>
      </c>
      <c r="FY42" s="39">
        <v>1497</v>
      </c>
      <c r="FZ42" s="39">
        <v>1493</v>
      </c>
      <c r="GA42" s="39">
        <v>1159</v>
      </c>
      <c r="GB42" s="39">
        <v>1065</v>
      </c>
      <c r="GC42" s="39">
        <v>1090</v>
      </c>
      <c r="GD42" s="39">
        <v>1066</v>
      </c>
      <c r="GE42" s="39">
        <v>932</v>
      </c>
      <c r="GF42" s="39">
        <v>792</v>
      </c>
      <c r="GG42" s="39">
        <v>786</v>
      </c>
      <c r="GH42" s="39">
        <v>702</v>
      </c>
      <c r="GI42" s="39">
        <v>698</v>
      </c>
      <c r="GJ42" s="39">
        <v>572</v>
      </c>
      <c r="GK42" s="39">
        <v>523</v>
      </c>
      <c r="GL42" s="39">
        <v>472</v>
      </c>
      <c r="GM42" s="39">
        <v>417</v>
      </c>
      <c r="GN42" s="40">
        <v>1512</v>
      </c>
    </row>
    <row r="43" spans="1:196" s="1" customFormat="1" x14ac:dyDescent="0.2">
      <c r="A43" s="41" t="s">
        <v>1039</v>
      </c>
      <c r="B43" s="284" t="s">
        <v>1010</v>
      </c>
      <c r="C43" s="24" t="str">
        <f t="shared" si="10"/>
        <v>Council area - Inverclyde</v>
      </c>
      <c r="D43" s="32">
        <f t="shared" si="17"/>
        <v>36033</v>
      </c>
      <c r="E43" s="32">
        <f t="shared" si="17"/>
        <v>38979</v>
      </c>
      <c r="F43" s="33">
        <f t="shared" si="18"/>
        <v>78330</v>
      </c>
      <c r="G43" s="33">
        <f t="shared" si="19"/>
        <v>37747</v>
      </c>
      <c r="H43" s="34">
        <f t="shared" si="20"/>
        <v>40583</v>
      </c>
      <c r="I43" s="390">
        <f t="shared" si="13"/>
        <v>36033</v>
      </c>
      <c r="J43" s="34">
        <f t="shared" si="14"/>
        <v>38979</v>
      </c>
      <c r="K43" s="55">
        <f t="shared" si="11"/>
        <v>5032</v>
      </c>
      <c r="L43" s="32">
        <f t="shared" si="12"/>
        <v>4578</v>
      </c>
      <c r="M43" s="55">
        <f t="shared" si="15"/>
        <v>33235</v>
      </c>
      <c r="N43" s="32">
        <f t="shared" si="16"/>
        <v>36381</v>
      </c>
      <c r="O43" s="924">
        <v>338</v>
      </c>
      <c r="P43" s="924">
        <v>339</v>
      </c>
      <c r="Q43" s="924">
        <v>329</v>
      </c>
      <c r="R43" s="924">
        <v>320</v>
      </c>
      <c r="S43" s="924">
        <v>388</v>
      </c>
      <c r="T43" s="924">
        <v>358</v>
      </c>
      <c r="U43" s="924">
        <v>380</v>
      </c>
      <c r="V43" s="924">
        <v>381</v>
      </c>
      <c r="W43" s="924">
        <v>413</v>
      </c>
      <c r="X43" s="924">
        <v>408</v>
      </c>
      <c r="Y43" s="924">
        <v>403</v>
      </c>
      <c r="Z43" s="924">
        <v>455</v>
      </c>
      <c r="AA43" s="924">
        <v>431</v>
      </c>
      <c r="AB43" s="924">
        <v>451</v>
      </c>
      <c r="AC43" s="924">
        <v>441</v>
      </c>
      <c r="AD43" s="924">
        <v>468</v>
      </c>
      <c r="AE43" s="924">
        <v>443</v>
      </c>
      <c r="AF43" s="924">
        <v>402</v>
      </c>
      <c r="AG43" s="924">
        <v>437</v>
      </c>
      <c r="AH43" s="924">
        <v>391</v>
      </c>
      <c r="AI43" s="924">
        <v>398</v>
      </c>
      <c r="AJ43" s="924">
        <v>380</v>
      </c>
      <c r="AK43" s="924">
        <v>396</v>
      </c>
      <c r="AL43" s="924">
        <v>473</v>
      </c>
      <c r="AM43" s="924">
        <v>417</v>
      </c>
      <c r="AN43" s="924">
        <v>390</v>
      </c>
      <c r="AO43" s="924">
        <v>453</v>
      </c>
      <c r="AP43" s="924">
        <v>408</v>
      </c>
      <c r="AQ43" s="924">
        <v>459</v>
      </c>
      <c r="AR43" s="924">
        <v>406</v>
      </c>
      <c r="AS43" s="924">
        <v>384</v>
      </c>
      <c r="AT43" s="924">
        <v>453</v>
      </c>
      <c r="AU43" s="924">
        <v>465</v>
      </c>
      <c r="AV43" s="924">
        <v>425</v>
      </c>
      <c r="AW43" s="924">
        <v>452</v>
      </c>
      <c r="AX43" s="924">
        <v>465</v>
      </c>
      <c r="AY43" s="924">
        <v>433</v>
      </c>
      <c r="AZ43" s="924">
        <v>490</v>
      </c>
      <c r="BA43" s="924">
        <v>433</v>
      </c>
      <c r="BB43" s="924">
        <v>418</v>
      </c>
      <c r="BC43" s="924">
        <v>402</v>
      </c>
      <c r="BD43" s="924">
        <v>449</v>
      </c>
      <c r="BE43" s="924">
        <v>457</v>
      </c>
      <c r="BF43" s="924">
        <v>412</v>
      </c>
      <c r="BG43" s="924">
        <v>439</v>
      </c>
      <c r="BH43" s="924">
        <v>403</v>
      </c>
      <c r="BI43" s="924">
        <v>428</v>
      </c>
      <c r="BJ43" s="924">
        <v>415</v>
      </c>
      <c r="BK43" s="924">
        <v>430</v>
      </c>
      <c r="BL43" s="924">
        <v>437</v>
      </c>
      <c r="BM43" s="924">
        <v>483</v>
      </c>
      <c r="BN43" s="924">
        <v>508</v>
      </c>
      <c r="BO43" s="924">
        <v>531</v>
      </c>
      <c r="BP43" s="924">
        <v>542</v>
      </c>
      <c r="BQ43" s="924">
        <v>528</v>
      </c>
      <c r="BR43" s="924">
        <v>613</v>
      </c>
      <c r="BS43" s="924">
        <v>663</v>
      </c>
      <c r="BT43" s="924">
        <v>639</v>
      </c>
      <c r="BU43" s="924">
        <v>625</v>
      </c>
      <c r="BV43" s="924">
        <v>646</v>
      </c>
      <c r="BW43" s="924">
        <v>693</v>
      </c>
      <c r="BX43" s="924">
        <v>692</v>
      </c>
      <c r="BY43" s="924">
        <v>653</v>
      </c>
      <c r="BZ43" s="924">
        <v>624</v>
      </c>
      <c r="CA43" s="924">
        <v>597</v>
      </c>
      <c r="CB43" s="924">
        <v>520</v>
      </c>
      <c r="CC43" s="924">
        <v>505</v>
      </c>
      <c r="CD43" s="924">
        <v>495</v>
      </c>
      <c r="CE43" s="924">
        <v>492</v>
      </c>
      <c r="CF43" s="924">
        <v>452</v>
      </c>
      <c r="CG43" s="924">
        <v>448</v>
      </c>
      <c r="CH43" s="924">
        <v>425</v>
      </c>
      <c r="CI43" s="924">
        <v>451</v>
      </c>
      <c r="CJ43" s="924">
        <v>402</v>
      </c>
      <c r="CK43" s="924">
        <v>373</v>
      </c>
      <c r="CL43" s="924">
        <v>356</v>
      </c>
      <c r="CM43" s="924">
        <v>402</v>
      </c>
      <c r="CN43" s="924">
        <v>315</v>
      </c>
      <c r="CO43" s="924">
        <v>262</v>
      </c>
      <c r="CP43" s="924">
        <v>302</v>
      </c>
      <c r="CQ43" s="924">
        <v>259</v>
      </c>
      <c r="CR43" s="924">
        <v>200</v>
      </c>
      <c r="CS43" s="924">
        <v>190</v>
      </c>
      <c r="CT43" s="924">
        <v>151</v>
      </c>
      <c r="CU43" s="924">
        <v>160</v>
      </c>
      <c r="CV43" s="924">
        <v>146</v>
      </c>
      <c r="CW43" s="924">
        <v>116</v>
      </c>
      <c r="CX43" s="924">
        <v>100</v>
      </c>
      <c r="CY43" s="924">
        <v>81</v>
      </c>
      <c r="CZ43" s="924">
        <v>59</v>
      </c>
      <c r="DA43" s="926">
        <v>202</v>
      </c>
      <c r="DB43" s="39">
        <v>303</v>
      </c>
      <c r="DC43" s="39">
        <v>346</v>
      </c>
      <c r="DD43" s="39">
        <v>283</v>
      </c>
      <c r="DE43" s="39">
        <v>323</v>
      </c>
      <c r="DF43" s="39">
        <v>349</v>
      </c>
      <c r="DG43" s="39">
        <v>360</v>
      </c>
      <c r="DH43" s="39">
        <v>364</v>
      </c>
      <c r="DI43" s="39">
        <v>352</v>
      </c>
      <c r="DJ43" s="39">
        <v>367</v>
      </c>
      <c r="DK43" s="39">
        <v>359</v>
      </c>
      <c r="DL43" s="39">
        <v>430</v>
      </c>
      <c r="DM43" s="39">
        <v>366</v>
      </c>
      <c r="DN43" s="39">
        <v>402</v>
      </c>
      <c r="DO43" s="39">
        <v>414</v>
      </c>
      <c r="DP43" s="39">
        <v>385</v>
      </c>
      <c r="DQ43" s="39">
        <v>388</v>
      </c>
      <c r="DR43" s="39">
        <v>391</v>
      </c>
      <c r="DS43" s="39">
        <v>407</v>
      </c>
      <c r="DT43" s="39">
        <v>389</v>
      </c>
      <c r="DU43" s="39">
        <v>387</v>
      </c>
      <c r="DV43" s="39">
        <v>352</v>
      </c>
      <c r="DW43" s="39">
        <v>340</v>
      </c>
      <c r="DX43" s="39">
        <v>379</v>
      </c>
      <c r="DY43" s="39">
        <v>407</v>
      </c>
      <c r="DZ43" s="39">
        <v>427</v>
      </c>
      <c r="EA43" s="39">
        <v>348</v>
      </c>
      <c r="EB43" s="39">
        <v>485</v>
      </c>
      <c r="EC43" s="39">
        <v>452</v>
      </c>
      <c r="ED43" s="39">
        <v>485</v>
      </c>
      <c r="EE43" s="39">
        <v>405</v>
      </c>
      <c r="EF43" s="39">
        <v>402</v>
      </c>
      <c r="EG43" s="39">
        <v>505</v>
      </c>
      <c r="EH43" s="39">
        <v>490</v>
      </c>
      <c r="EI43" s="39">
        <v>535</v>
      </c>
      <c r="EJ43" s="39">
        <v>423</v>
      </c>
      <c r="EK43" s="39">
        <v>492</v>
      </c>
      <c r="EL43" s="39">
        <v>422</v>
      </c>
      <c r="EM43" s="39">
        <v>485</v>
      </c>
      <c r="EN43" s="39">
        <v>438</v>
      </c>
      <c r="EO43" s="39">
        <v>450</v>
      </c>
      <c r="EP43" s="39">
        <v>506</v>
      </c>
      <c r="EQ43" s="39">
        <v>474</v>
      </c>
      <c r="ER43" s="39">
        <v>451</v>
      </c>
      <c r="ES43" s="39">
        <v>497</v>
      </c>
      <c r="ET43" s="39">
        <v>481</v>
      </c>
      <c r="EU43" s="39">
        <v>418</v>
      </c>
      <c r="EV43" s="39">
        <v>423</v>
      </c>
      <c r="EW43" s="39">
        <v>449</v>
      </c>
      <c r="EX43" s="39">
        <v>514</v>
      </c>
      <c r="EY43" s="39">
        <v>462</v>
      </c>
      <c r="EZ43" s="39">
        <v>533</v>
      </c>
      <c r="FA43" s="39">
        <v>547</v>
      </c>
      <c r="FB43" s="39">
        <v>600</v>
      </c>
      <c r="FC43" s="39">
        <v>594</v>
      </c>
      <c r="FD43" s="39">
        <v>668</v>
      </c>
      <c r="FE43" s="39">
        <v>674</v>
      </c>
      <c r="FF43" s="39">
        <v>692</v>
      </c>
      <c r="FG43" s="39">
        <v>698</v>
      </c>
      <c r="FH43" s="39">
        <v>698</v>
      </c>
      <c r="FI43" s="39">
        <v>730</v>
      </c>
      <c r="FJ43" s="39">
        <v>745</v>
      </c>
      <c r="FK43" s="39">
        <v>687</v>
      </c>
      <c r="FL43" s="39">
        <v>636</v>
      </c>
      <c r="FM43" s="39">
        <v>680</v>
      </c>
      <c r="FN43" s="39">
        <v>669</v>
      </c>
      <c r="FO43" s="39">
        <v>591</v>
      </c>
      <c r="FP43" s="39">
        <v>573</v>
      </c>
      <c r="FQ43" s="39">
        <v>563</v>
      </c>
      <c r="FR43" s="39">
        <v>523</v>
      </c>
      <c r="FS43" s="39">
        <v>509</v>
      </c>
      <c r="FT43" s="39">
        <v>484</v>
      </c>
      <c r="FU43" s="39">
        <v>465</v>
      </c>
      <c r="FV43" s="39">
        <v>487</v>
      </c>
      <c r="FW43" s="39">
        <v>444</v>
      </c>
      <c r="FX43" s="39">
        <v>490</v>
      </c>
      <c r="FY43" s="39">
        <v>486</v>
      </c>
      <c r="FZ43" s="39">
        <v>472</v>
      </c>
      <c r="GA43" s="39">
        <v>350</v>
      </c>
      <c r="GB43" s="39">
        <v>349</v>
      </c>
      <c r="GC43" s="39">
        <v>350</v>
      </c>
      <c r="GD43" s="39">
        <v>359</v>
      </c>
      <c r="GE43" s="39">
        <v>285</v>
      </c>
      <c r="GF43" s="39">
        <v>243</v>
      </c>
      <c r="GG43" s="39">
        <v>246</v>
      </c>
      <c r="GH43" s="39">
        <v>278</v>
      </c>
      <c r="GI43" s="39">
        <v>227</v>
      </c>
      <c r="GJ43" s="39">
        <v>206</v>
      </c>
      <c r="GK43" s="39">
        <v>173</v>
      </c>
      <c r="GL43" s="39">
        <v>137</v>
      </c>
      <c r="GM43" s="39">
        <v>140</v>
      </c>
      <c r="GN43" s="40">
        <v>540</v>
      </c>
    </row>
    <row r="44" spans="1:196" s="1" customFormat="1" x14ac:dyDescent="0.2">
      <c r="A44" s="41" t="s">
        <v>1039</v>
      </c>
      <c r="B44" s="284" t="s">
        <v>1011</v>
      </c>
      <c r="C44" s="24" t="str">
        <f t="shared" si="10"/>
        <v>Council area - Midlothian</v>
      </c>
      <c r="D44" s="32">
        <f t="shared" si="17"/>
        <v>44640</v>
      </c>
      <c r="E44" s="32">
        <f t="shared" si="17"/>
        <v>48069</v>
      </c>
      <c r="F44" s="33">
        <f t="shared" si="18"/>
        <v>98260</v>
      </c>
      <c r="G44" s="33">
        <f t="shared" si="19"/>
        <v>47497</v>
      </c>
      <c r="H44" s="34">
        <f t="shared" si="20"/>
        <v>50763</v>
      </c>
      <c r="I44" s="390">
        <f t="shared" si="13"/>
        <v>44640</v>
      </c>
      <c r="J44" s="34">
        <f t="shared" si="14"/>
        <v>48069</v>
      </c>
      <c r="K44" s="55">
        <f t="shared" si="11"/>
        <v>7144</v>
      </c>
      <c r="L44" s="32">
        <f t="shared" si="12"/>
        <v>6876</v>
      </c>
      <c r="M44" s="55">
        <f t="shared" si="15"/>
        <v>40359</v>
      </c>
      <c r="N44" s="32">
        <f t="shared" si="16"/>
        <v>43936</v>
      </c>
      <c r="O44" s="924">
        <v>510</v>
      </c>
      <c r="P44" s="924">
        <v>586</v>
      </c>
      <c r="Q44" s="924">
        <v>566</v>
      </c>
      <c r="R44" s="924">
        <v>564</v>
      </c>
      <c r="S44" s="924">
        <v>631</v>
      </c>
      <c r="T44" s="924">
        <v>593</v>
      </c>
      <c r="U44" s="924">
        <v>608</v>
      </c>
      <c r="V44" s="924">
        <v>669</v>
      </c>
      <c r="W44" s="924">
        <v>635</v>
      </c>
      <c r="X44" s="924">
        <v>568</v>
      </c>
      <c r="Y44" s="924">
        <v>563</v>
      </c>
      <c r="Z44" s="924">
        <v>645</v>
      </c>
      <c r="AA44" s="924">
        <v>580</v>
      </c>
      <c r="AB44" s="924">
        <v>595</v>
      </c>
      <c r="AC44" s="924">
        <v>597</v>
      </c>
      <c r="AD44" s="924">
        <v>549</v>
      </c>
      <c r="AE44" s="924">
        <v>542</v>
      </c>
      <c r="AF44" s="924">
        <v>568</v>
      </c>
      <c r="AG44" s="924">
        <v>498</v>
      </c>
      <c r="AH44" s="924">
        <v>552</v>
      </c>
      <c r="AI44" s="924">
        <v>497</v>
      </c>
      <c r="AJ44" s="924">
        <v>484</v>
      </c>
      <c r="AK44" s="924">
        <v>491</v>
      </c>
      <c r="AL44" s="924">
        <v>513</v>
      </c>
      <c r="AM44" s="924">
        <v>472</v>
      </c>
      <c r="AN44" s="924">
        <v>476</v>
      </c>
      <c r="AO44" s="924">
        <v>523</v>
      </c>
      <c r="AP44" s="924">
        <v>522</v>
      </c>
      <c r="AQ44" s="924">
        <v>575</v>
      </c>
      <c r="AR44" s="924">
        <v>508</v>
      </c>
      <c r="AS44" s="924">
        <v>531</v>
      </c>
      <c r="AT44" s="924">
        <v>689</v>
      </c>
      <c r="AU44" s="924">
        <v>718</v>
      </c>
      <c r="AV44" s="924">
        <v>708</v>
      </c>
      <c r="AW44" s="924">
        <v>689</v>
      </c>
      <c r="AX44" s="924">
        <v>709</v>
      </c>
      <c r="AY44" s="924">
        <v>613</v>
      </c>
      <c r="AZ44" s="924">
        <v>763</v>
      </c>
      <c r="BA44" s="924">
        <v>689</v>
      </c>
      <c r="BB44" s="924">
        <v>701</v>
      </c>
      <c r="BC44" s="924">
        <v>643</v>
      </c>
      <c r="BD44" s="924">
        <v>696</v>
      </c>
      <c r="BE44" s="924">
        <v>620</v>
      </c>
      <c r="BF44" s="924">
        <v>637</v>
      </c>
      <c r="BG44" s="924">
        <v>626</v>
      </c>
      <c r="BH44" s="924">
        <v>549</v>
      </c>
      <c r="BI44" s="924">
        <v>572</v>
      </c>
      <c r="BJ44" s="924">
        <v>530</v>
      </c>
      <c r="BK44" s="924">
        <v>578</v>
      </c>
      <c r="BL44" s="924">
        <v>666</v>
      </c>
      <c r="BM44" s="924">
        <v>583</v>
      </c>
      <c r="BN44" s="924">
        <v>606</v>
      </c>
      <c r="BO44" s="924">
        <v>655</v>
      </c>
      <c r="BP44" s="924">
        <v>680</v>
      </c>
      <c r="BQ44" s="924">
        <v>637</v>
      </c>
      <c r="BR44" s="924">
        <v>671</v>
      </c>
      <c r="BS44" s="924">
        <v>662</v>
      </c>
      <c r="BT44" s="924">
        <v>583</v>
      </c>
      <c r="BU44" s="924">
        <v>671</v>
      </c>
      <c r="BV44" s="924">
        <v>629</v>
      </c>
      <c r="BW44" s="924">
        <v>660</v>
      </c>
      <c r="BX44" s="924">
        <v>628</v>
      </c>
      <c r="BY44" s="924">
        <v>599</v>
      </c>
      <c r="BZ44" s="924">
        <v>612</v>
      </c>
      <c r="CA44" s="924">
        <v>543</v>
      </c>
      <c r="CB44" s="924">
        <v>563</v>
      </c>
      <c r="CC44" s="924">
        <v>549</v>
      </c>
      <c r="CD44" s="924">
        <v>541</v>
      </c>
      <c r="CE44" s="924">
        <v>454</v>
      </c>
      <c r="CF44" s="924">
        <v>492</v>
      </c>
      <c r="CG44" s="924">
        <v>458</v>
      </c>
      <c r="CH44" s="924">
        <v>441</v>
      </c>
      <c r="CI44" s="924">
        <v>430</v>
      </c>
      <c r="CJ44" s="924">
        <v>436</v>
      </c>
      <c r="CK44" s="924">
        <v>451</v>
      </c>
      <c r="CL44" s="924">
        <v>398</v>
      </c>
      <c r="CM44" s="924">
        <v>465</v>
      </c>
      <c r="CN44" s="924">
        <v>375</v>
      </c>
      <c r="CO44" s="924">
        <v>331</v>
      </c>
      <c r="CP44" s="924">
        <v>289</v>
      </c>
      <c r="CQ44" s="924">
        <v>290</v>
      </c>
      <c r="CR44" s="924">
        <v>236</v>
      </c>
      <c r="CS44" s="924">
        <v>206</v>
      </c>
      <c r="CT44" s="924">
        <v>164</v>
      </c>
      <c r="CU44" s="924">
        <v>163</v>
      </c>
      <c r="CV44" s="924">
        <v>155</v>
      </c>
      <c r="CW44" s="924">
        <v>123</v>
      </c>
      <c r="CX44" s="924">
        <v>109</v>
      </c>
      <c r="CY44" s="924">
        <v>92</v>
      </c>
      <c r="CZ44" s="924">
        <v>51</v>
      </c>
      <c r="DA44" s="926">
        <v>209</v>
      </c>
      <c r="DB44" s="39">
        <v>497</v>
      </c>
      <c r="DC44" s="39">
        <v>553</v>
      </c>
      <c r="DD44" s="39">
        <v>535</v>
      </c>
      <c r="DE44" s="39">
        <v>533</v>
      </c>
      <c r="DF44" s="39">
        <v>576</v>
      </c>
      <c r="DG44" s="39">
        <v>557</v>
      </c>
      <c r="DH44" s="39">
        <v>575</v>
      </c>
      <c r="DI44" s="39">
        <v>597</v>
      </c>
      <c r="DJ44" s="39">
        <v>615</v>
      </c>
      <c r="DK44" s="39">
        <v>587</v>
      </c>
      <c r="DL44" s="39">
        <v>636</v>
      </c>
      <c r="DM44" s="39">
        <v>566</v>
      </c>
      <c r="DN44" s="39">
        <v>599</v>
      </c>
      <c r="DO44" s="39">
        <v>585</v>
      </c>
      <c r="DP44" s="39">
        <v>517</v>
      </c>
      <c r="DQ44" s="39">
        <v>557</v>
      </c>
      <c r="DR44" s="39">
        <v>485</v>
      </c>
      <c r="DS44" s="39">
        <v>524</v>
      </c>
      <c r="DT44" s="39">
        <v>451</v>
      </c>
      <c r="DU44" s="39">
        <v>415</v>
      </c>
      <c r="DV44" s="39">
        <v>374</v>
      </c>
      <c r="DW44" s="39">
        <v>368</v>
      </c>
      <c r="DX44" s="39">
        <v>457</v>
      </c>
      <c r="DY44" s="39">
        <v>512</v>
      </c>
      <c r="DZ44" s="39">
        <v>506</v>
      </c>
      <c r="EA44" s="39">
        <v>442</v>
      </c>
      <c r="EB44" s="39">
        <v>547</v>
      </c>
      <c r="EC44" s="39">
        <v>552</v>
      </c>
      <c r="ED44" s="39">
        <v>585</v>
      </c>
      <c r="EE44" s="39">
        <v>646</v>
      </c>
      <c r="EF44" s="39">
        <v>696</v>
      </c>
      <c r="EG44" s="39">
        <v>750</v>
      </c>
      <c r="EH44" s="39">
        <v>781</v>
      </c>
      <c r="EI44" s="39">
        <v>784</v>
      </c>
      <c r="EJ44" s="39">
        <v>735</v>
      </c>
      <c r="EK44" s="39">
        <v>783</v>
      </c>
      <c r="EL44" s="39">
        <v>763</v>
      </c>
      <c r="EM44" s="39">
        <v>759</v>
      </c>
      <c r="EN44" s="39">
        <v>756</v>
      </c>
      <c r="EO44" s="39">
        <v>710</v>
      </c>
      <c r="EP44" s="39">
        <v>706</v>
      </c>
      <c r="EQ44" s="39">
        <v>775</v>
      </c>
      <c r="ER44" s="39">
        <v>697</v>
      </c>
      <c r="ES44" s="39">
        <v>692</v>
      </c>
      <c r="ET44" s="39">
        <v>679</v>
      </c>
      <c r="EU44" s="39">
        <v>578</v>
      </c>
      <c r="EV44" s="39">
        <v>572</v>
      </c>
      <c r="EW44" s="39">
        <v>634</v>
      </c>
      <c r="EX44" s="39">
        <v>599</v>
      </c>
      <c r="EY44" s="39">
        <v>636</v>
      </c>
      <c r="EZ44" s="39">
        <v>642</v>
      </c>
      <c r="FA44" s="39">
        <v>683</v>
      </c>
      <c r="FB44" s="39">
        <v>725</v>
      </c>
      <c r="FC44" s="39">
        <v>731</v>
      </c>
      <c r="FD44" s="39">
        <v>708</v>
      </c>
      <c r="FE44" s="39">
        <v>738</v>
      </c>
      <c r="FF44" s="39">
        <v>684</v>
      </c>
      <c r="FG44" s="39">
        <v>725</v>
      </c>
      <c r="FH44" s="39">
        <v>710</v>
      </c>
      <c r="FI44" s="39">
        <v>662</v>
      </c>
      <c r="FJ44" s="39">
        <v>753</v>
      </c>
      <c r="FK44" s="39">
        <v>702</v>
      </c>
      <c r="FL44" s="39">
        <v>658</v>
      </c>
      <c r="FM44" s="39">
        <v>633</v>
      </c>
      <c r="FN44" s="39">
        <v>661</v>
      </c>
      <c r="FO44" s="39">
        <v>629</v>
      </c>
      <c r="FP44" s="39">
        <v>610</v>
      </c>
      <c r="FQ44" s="39">
        <v>541</v>
      </c>
      <c r="FR44" s="39">
        <v>564</v>
      </c>
      <c r="FS44" s="39">
        <v>504</v>
      </c>
      <c r="FT44" s="39">
        <v>511</v>
      </c>
      <c r="FU44" s="39">
        <v>475</v>
      </c>
      <c r="FV44" s="39">
        <v>533</v>
      </c>
      <c r="FW44" s="39">
        <v>505</v>
      </c>
      <c r="FX44" s="39">
        <v>534</v>
      </c>
      <c r="FY44" s="39">
        <v>557</v>
      </c>
      <c r="FZ44" s="39">
        <v>592</v>
      </c>
      <c r="GA44" s="39">
        <v>431</v>
      </c>
      <c r="GB44" s="39">
        <v>354</v>
      </c>
      <c r="GC44" s="39">
        <v>391</v>
      </c>
      <c r="GD44" s="39">
        <v>331</v>
      </c>
      <c r="GE44" s="39">
        <v>264</v>
      </c>
      <c r="GF44" s="39">
        <v>260</v>
      </c>
      <c r="GG44" s="39">
        <v>264</v>
      </c>
      <c r="GH44" s="39">
        <v>201</v>
      </c>
      <c r="GI44" s="39">
        <v>214</v>
      </c>
      <c r="GJ44" s="39">
        <v>177</v>
      </c>
      <c r="GK44" s="39">
        <v>163</v>
      </c>
      <c r="GL44" s="39">
        <v>153</v>
      </c>
      <c r="GM44" s="39">
        <v>112</v>
      </c>
      <c r="GN44" s="40">
        <v>444</v>
      </c>
    </row>
    <row r="45" spans="1:196" s="1" customFormat="1" x14ac:dyDescent="0.2">
      <c r="A45" s="41" t="s">
        <v>1039</v>
      </c>
      <c r="B45" s="284" t="s">
        <v>1012</v>
      </c>
      <c r="C45" s="24" t="str">
        <f t="shared" si="10"/>
        <v>Council area - Moray</v>
      </c>
      <c r="D45" s="32">
        <f t="shared" si="17"/>
        <v>44808</v>
      </c>
      <c r="E45" s="32">
        <f t="shared" si="17"/>
        <v>45732</v>
      </c>
      <c r="F45" s="33">
        <f t="shared" si="18"/>
        <v>94670</v>
      </c>
      <c r="G45" s="33">
        <f t="shared" si="19"/>
        <v>46916</v>
      </c>
      <c r="H45" s="34">
        <f t="shared" si="20"/>
        <v>47754</v>
      </c>
      <c r="I45" s="390">
        <f t="shared" si="13"/>
        <v>44808</v>
      </c>
      <c r="J45" s="34">
        <f t="shared" si="14"/>
        <v>45732</v>
      </c>
      <c r="K45" s="55">
        <f t="shared" si="11"/>
        <v>6444</v>
      </c>
      <c r="L45" s="32">
        <f t="shared" si="12"/>
        <v>5996</v>
      </c>
      <c r="M45" s="55">
        <f t="shared" si="15"/>
        <v>41230</v>
      </c>
      <c r="N45" s="32">
        <f t="shared" si="16"/>
        <v>42409</v>
      </c>
      <c r="O45" s="924">
        <v>365</v>
      </c>
      <c r="P45" s="924">
        <v>429</v>
      </c>
      <c r="Q45" s="924">
        <v>408</v>
      </c>
      <c r="R45" s="924">
        <v>459</v>
      </c>
      <c r="S45" s="924">
        <v>447</v>
      </c>
      <c r="T45" s="924">
        <v>508</v>
      </c>
      <c r="U45" s="924">
        <v>458</v>
      </c>
      <c r="V45" s="924">
        <v>560</v>
      </c>
      <c r="W45" s="924">
        <v>463</v>
      </c>
      <c r="X45" s="924">
        <v>507</v>
      </c>
      <c r="Y45" s="924">
        <v>569</v>
      </c>
      <c r="Z45" s="924">
        <v>513</v>
      </c>
      <c r="AA45" s="924">
        <v>565</v>
      </c>
      <c r="AB45" s="924">
        <v>540</v>
      </c>
      <c r="AC45" s="924">
        <v>564</v>
      </c>
      <c r="AD45" s="924">
        <v>616</v>
      </c>
      <c r="AE45" s="924">
        <v>581</v>
      </c>
      <c r="AF45" s="924">
        <v>572</v>
      </c>
      <c r="AG45" s="924">
        <v>550</v>
      </c>
      <c r="AH45" s="924">
        <v>512</v>
      </c>
      <c r="AI45" s="924">
        <v>510</v>
      </c>
      <c r="AJ45" s="924">
        <v>498</v>
      </c>
      <c r="AK45" s="924">
        <v>530</v>
      </c>
      <c r="AL45" s="924">
        <v>566</v>
      </c>
      <c r="AM45" s="924">
        <v>551</v>
      </c>
      <c r="AN45" s="924">
        <v>512</v>
      </c>
      <c r="AO45" s="924">
        <v>568</v>
      </c>
      <c r="AP45" s="924">
        <v>538</v>
      </c>
      <c r="AQ45" s="924">
        <v>532</v>
      </c>
      <c r="AR45" s="924">
        <v>511</v>
      </c>
      <c r="AS45" s="924">
        <v>474</v>
      </c>
      <c r="AT45" s="924">
        <v>580</v>
      </c>
      <c r="AU45" s="924">
        <v>617</v>
      </c>
      <c r="AV45" s="924">
        <v>574</v>
      </c>
      <c r="AW45" s="924">
        <v>590</v>
      </c>
      <c r="AX45" s="924">
        <v>537</v>
      </c>
      <c r="AY45" s="924">
        <v>564</v>
      </c>
      <c r="AZ45" s="924">
        <v>578</v>
      </c>
      <c r="BA45" s="924">
        <v>602</v>
      </c>
      <c r="BB45" s="924">
        <v>501</v>
      </c>
      <c r="BC45" s="924">
        <v>508</v>
      </c>
      <c r="BD45" s="924">
        <v>522</v>
      </c>
      <c r="BE45" s="924">
        <v>488</v>
      </c>
      <c r="BF45" s="924">
        <v>556</v>
      </c>
      <c r="BG45" s="924">
        <v>558</v>
      </c>
      <c r="BH45" s="924">
        <v>491</v>
      </c>
      <c r="BI45" s="924">
        <v>496</v>
      </c>
      <c r="BJ45" s="924">
        <v>515</v>
      </c>
      <c r="BK45" s="924">
        <v>538</v>
      </c>
      <c r="BL45" s="924">
        <v>570</v>
      </c>
      <c r="BM45" s="924">
        <v>653</v>
      </c>
      <c r="BN45" s="924">
        <v>637</v>
      </c>
      <c r="BO45" s="924">
        <v>670</v>
      </c>
      <c r="BP45" s="924">
        <v>636</v>
      </c>
      <c r="BQ45" s="924">
        <v>720</v>
      </c>
      <c r="BR45" s="924">
        <v>718</v>
      </c>
      <c r="BS45" s="924">
        <v>740</v>
      </c>
      <c r="BT45" s="924">
        <v>738</v>
      </c>
      <c r="BU45" s="924">
        <v>708</v>
      </c>
      <c r="BV45" s="924">
        <v>729</v>
      </c>
      <c r="BW45" s="924">
        <v>748</v>
      </c>
      <c r="BX45" s="924">
        <v>702</v>
      </c>
      <c r="BY45" s="924">
        <v>681</v>
      </c>
      <c r="BZ45" s="924">
        <v>672</v>
      </c>
      <c r="CA45" s="924">
        <v>631</v>
      </c>
      <c r="CB45" s="924">
        <v>674</v>
      </c>
      <c r="CC45" s="924">
        <v>626</v>
      </c>
      <c r="CD45" s="924">
        <v>644</v>
      </c>
      <c r="CE45" s="924">
        <v>574</v>
      </c>
      <c r="CF45" s="924">
        <v>592</v>
      </c>
      <c r="CG45" s="924">
        <v>555</v>
      </c>
      <c r="CH45" s="924">
        <v>511</v>
      </c>
      <c r="CI45" s="924">
        <v>500</v>
      </c>
      <c r="CJ45" s="924">
        <v>533</v>
      </c>
      <c r="CK45" s="924">
        <v>498</v>
      </c>
      <c r="CL45" s="924">
        <v>522</v>
      </c>
      <c r="CM45" s="924">
        <v>520</v>
      </c>
      <c r="CN45" s="924">
        <v>403</v>
      </c>
      <c r="CO45" s="924">
        <v>337</v>
      </c>
      <c r="CP45" s="924">
        <v>353</v>
      </c>
      <c r="CQ45" s="924">
        <v>317</v>
      </c>
      <c r="CR45" s="924">
        <v>274</v>
      </c>
      <c r="CS45" s="924">
        <v>259</v>
      </c>
      <c r="CT45" s="924">
        <v>231</v>
      </c>
      <c r="CU45" s="924">
        <v>219</v>
      </c>
      <c r="CV45" s="924">
        <v>184</v>
      </c>
      <c r="CW45" s="924">
        <v>166</v>
      </c>
      <c r="CX45" s="924">
        <v>125</v>
      </c>
      <c r="CY45" s="924">
        <v>133</v>
      </c>
      <c r="CZ45" s="924">
        <v>101</v>
      </c>
      <c r="DA45" s="926">
        <v>321</v>
      </c>
      <c r="DB45" s="39">
        <v>351</v>
      </c>
      <c r="DC45" s="39">
        <v>424</v>
      </c>
      <c r="DD45" s="39">
        <v>402</v>
      </c>
      <c r="DE45" s="39">
        <v>429</v>
      </c>
      <c r="DF45" s="39">
        <v>416</v>
      </c>
      <c r="DG45" s="39">
        <v>388</v>
      </c>
      <c r="DH45" s="39">
        <v>464</v>
      </c>
      <c r="DI45" s="39">
        <v>481</v>
      </c>
      <c r="DJ45" s="39">
        <v>467</v>
      </c>
      <c r="DK45" s="39">
        <v>512</v>
      </c>
      <c r="DL45" s="39">
        <v>506</v>
      </c>
      <c r="DM45" s="39">
        <v>505</v>
      </c>
      <c r="DN45" s="39">
        <v>512</v>
      </c>
      <c r="DO45" s="39">
        <v>542</v>
      </c>
      <c r="DP45" s="39">
        <v>535</v>
      </c>
      <c r="DQ45" s="39">
        <v>566</v>
      </c>
      <c r="DR45" s="39">
        <v>518</v>
      </c>
      <c r="DS45" s="39">
        <v>526</v>
      </c>
      <c r="DT45" s="39">
        <v>522</v>
      </c>
      <c r="DU45" s="39">
        <v>374</v>
      </c>
      <c r="DV45" s="39">
        <v>324</v>
      </c>
      <c r="DW45" s="39">
        <v>301</v>
      </c>
      <c r="DX45" s="39">
        <v>363</v>
      </c>
      <c r="DY45" s="39">
        <v>424</v>
      </c>
      <c r="DZ45" s="39">
        <v>428</v>
      </c>
      <c r="EA45" s="39">
        <v>487</v>
      </c>
      <c r="EB45" s="39">
        <v>446</v>
      </c>
      <c r="EC45" s="39">
        <v>494</v>
      </c>
      <c r="ED45" s="39">
        <v>520</v>
      </c>
      <c r="EE45" s="39">
        <v>520</v>
      </c>
      <c r="EF45" s="39">
        <v>525</v>
      </c>
      <c r="EG45" s="39">
        <v>569</v>
      </c>
      <c r="EH45" s="39">
        <v>541</v>
      </c>
      <c r="EI45" s="39">
        <v>537</v>
      </c>
      <c r="EJ45" s="39">
        <v>540</v>
      </c>
      <c r="EK45" s="39">
        <v>562</v>
      </c>
      <c r="EL45" s="39">
        <v>598</v>
      </c>
      <c r="EM45" s="39">
        <v>580</v>
      </c>
      <c r="EN45" s="39">
        <v>600</v>
      </c>
      <c r="EO45" s="39">
        <v>524</v>
      </c>
      <c r="EP45" s="39">
        <v>527</v>
      </c>
      <c r="EQ45" s="39">
        <v>573</v>
      </c>
      <c r="ER45" s="39">
        <v>566</v>
      </c>
      <c r="ES45" s="39">
        <v>553</v>
      </c>
      <c r="ET45" s="39">
        <v>579</v>
      </c>
      <c r="EU45" s="39">
        <v>528</v>
      </c>
      <c r="EV45" s="39">
        <v>525</v>
      </c>
      <c r="EW45" s="39">
        <v>583</v>
      </c>
      <c r="EX45" s="39">
        <v>613</v>
      </c>
      <c r="EY45" s="39">
        <v>614</v>
      </c>
      <c r="EZ45" s="39">
        <v>651</v>
      </c>
      <c r="FA45" s="39">
        <v>717</v>
      </c>
      <c r="FB45" s="39">
        <v>788</v>
      </c>
      <c r="FC45" s="39">
        <v>708</v>
      </c>
      <c r="FD45" s="39">
        <v>748</v>
      </c>
      <c r="FE45" s="39">
        <v>729</v>
      </c>
      <c r="FF45" s="39">
        <v>758</v>
      </c>
      <c r="FG45" s="39">
        <v>785</v>
      </c>
      <c r="FH45" s="39">
        <v>797</v>
      </c>
      <c r="FI45" s="39">
        <v>732</v>
      </c>
      <c r="FJ45" s="39">
        <v>785</v>
      </c>
      <c r="FK45" s="39">
        <v>716</v>
      </c>
      <c r="FL45" s="39">
        <v>739</v>
      </c>
      <c r="FM45" s="39">
        <v>667</v>
      </c>
      <c r="FN45" s="39">
        <v>680</v>
      </c>
      <c r="FO45" s="39">
        <v>679</v>
      </c>
      <c r="FP45" s="39">
        <v>673</v>
      </c>
      <c r="FQ45" s="39">
        <v>678</v>
      </c>
      <c r="FR45" s="39">
        <v>608</v>
      </c>
      <c r="FS45" s="39">
        <v>588</v>
      </c>
      <c r="FT45" s="39">
        <v>578</v>
      </c>
      <c r="FU45" s="39">
        <v>525</v>
      </c>
      <c r="FV45" s="39">
        <v>584</v>
      </c>
      <c r="FW45" s="39">
        <v>569</v>
      </c>
      <c r="FX45" s="39">
        <v>529</v>
      </c>
      <c r="FY45" s="39">
        <v>560</v>
      </c>
      <c r="FZ45" s="39">
        <v>641</v>
      </c>
      <c r="GA45" s="39">
        <v>455</v>
      </c>
      <c r="GB45" s="39">
        <v>436</v>
      </c>
      <c r="GC45" s="39">
        <v>432</v>
      </c>
      <c r="GD45" s="39">
        <v>409</v>
      </c>
      <c r="GE45" s="39">
        <v>335</v>
      </c>
      <c r="GF45" s="39">
        <v>311</v>
      </c>
      <c r="GG45" s="39">
        <v>310</v>
      </c>
      <c r="GH45" s="39">
        <v>254</v>
      </c>
      <c r="GI45" s="39">
        <v>268</v>
      </c>
      <c r="GJ45" s="39">
        <v>198</v>
      </c>
      <c r="GK45" s="39">
        <v>205</v>
      </c>
      <c r="GL45" s="39">
        <v>229</v>
      </c>
      <c r="GM45" s="39">
        <v>147</v>
      </c>
      <c r="GN45" s="40">
        <v>569</v>
      </c>
    </row>
    <row r="46" spans="1:196" s="1" customFormat="1" x14ac:dyDescent="0.2">
      <c r="A46" s="41" t="s">
        <v>1039</v>
      </c>
      <c r="B46" s="284" t="s">
        <v>1013</v>
      </c>
      <c r="C46" s="24" t="str">
        <f t="shared" si="10"/>
        <v>Council area - Na h-Eileanan Siar</v>
      </c>
      <c r="D46" s="32">
        <f t="shared" si="17"/>
        <v>12396</v>
      </c>
      <c r="E46" s="32">
        <f t="shared" si="17"/>
        <v>12666</v>
      </c>
      <c r="F46" s="33">
        <f t="shared" si="18"/>
        <v>26030</v>
      </c>
      <c r="G46" s="33">
        <f t="shared" si="19"/>
        <v>12877</v>
      </c>
      <c r="H46" s="34">
        <f t="shared" si="20"/>
        <v>13153</v>
      </c>
      <c r="I46" s="390">
        <f t="shared" si="13"/>
        <v>12396</v>
      </c>
      <c r="J46" s="34">
        <f t="shared" si="14"/>
        <v>12666</v>
      </c>
      <c r="K46" s="55">
        <f t="shared" si="11"/>
        <v>1683</v>
      </c>
      <c r="L46" s="32">
        <f t="shared" si="12"/>
        <v>1514</v>
      </c>
      <c r="M46" s="55">
        <f t="shared" si="15"/>
        <v>11437</v>
      </c>
      <c r="N46" s="32">
        <f t="shared" si="16"/>
        <v>11813</v>
      </c>
      <c r="O46" s="924">
        <v>87</v>
      </c>
      <c r="P46" s="924">
        <v>107</v>
      </c>
      <c r="Q46" s="924">
        <v>93</v>
      </c>
      <c r="R46" s="924">
        <v>84</v>
      </c>
      <c r="S46" s="924">
        <v>110</v>
      </c>
      <c r="T46" s="924">
        <v>128</v>
      </c>
      <c r="U46" s="924">
        <v>143</v>
      </c>
      <c r="V46" s="924">
        <v>135</v>
      </c>
      <c r="W46" s="924">
        <v>112</v>
      </c>
      <c r="X46" s="924">
        <v>155</v>
      </c>
      <c r="Y46" s="924">
        <v>125</v>
      </c>
      <c r="Z46" s="924">
        <v>161</v>
      </c>
      <c r="AA46" s="924">
        <v>139</v>
      </c>
      <c r="AB46" s="924">
        <v>126</v>
      </c>
      <c r="AC46" s="924">
        <v>141</v>
      </c>
      <c r="AD46" s="924">
        <v>159</v>
      </c>
      <c r="AE46" s="924">
        <v>159</v>
      </c>
      <c r="AF46" s="924">
        <v>134</v>
      </c>
      <c r="AG46" s="924">
        <v>130</v>
      </c>
      <c r="AH46" s="924">
        <v>128</v>
      </c>
      <c r="AI46" s="924">
        <v>109</v>
      </c>
      <c r="AJ46" s="924">
        <v>70</v>
      </c>
      <c r="AK46" s="924">
        <v>87</v>
      </c>
      <c r="AL46" s="924">
        <v>100</v>
      </c>
      <c r="AM46" s="924">
        <v>112</v>
      </c>
      <c r="AN46" s="924">
        <v>88</v>
      </c>
      <c r="AO46" s="924">
        <v>110</v>
      </c>
      <c r="AP46" s="924">
        <v>119</v>
      </c>
      <c r="AQ46" s="924">
        <v>103</v>
      </c>
      <c r="AR46" s="924">
        <v>113</v>
      </c>
      <c r="AS46" s="924">
        <v>103</v>
      </c>
      <c r="AT46" s="924">
        <v>150</v>
      </c>
      <c r="AU46" s="924">
        <v>100</v>
      </c>
      <c r="AV46" s="924">
        <v>114</v>
      </c>
      <c r="AW46" s="924">
        <v>146</v>
      </c>
      <c r="AX46" s="924">
        <v>144</v>
      </c>
      <c r="AY46" s="924">
        <v>146</v>
      </c>
      <c r="AZ46" s="924">
        <v>125</v>
      </c>
      <c r="BA46" s="924">
        <v>125</v>
      </c>
      <c r="BB46" s="924">
        <v>122</v>
      </c>
      <c r="BC46" s="924">
        <v>133</v>
      </c>
      <c r="BD46" s="924">
        <v>135</v>
      </c>
      <c r="BE46" s="924">
        <v>127</v>
      </c>
      <c r="BF46" s="924">
        <v>134</v>
      </c>
      <c r="BG46" s="924">
        <v>185</v>
      </c>
      <c r="BH46" s="924">
        <v>145</v>
      </c>
      <c r="BI46" s="924">
        <v>146</v>
      </c>
      <c r="BJ46" s="924">
        <v>162</v>
      </c>
      <c r="BK46" s="924">
        <v>150</v>
      </c>
      <c r="BL46" s="924">
        <v>167</v>
      </c>
      <c r="BM46" s="924">
        <v>195</v>
      </c>
      <c r="BN46" s="924">
        <v>211</v>
      </c>
      <c r="BO46" s="924">
        <v>202</v>
      </c>
      <c r="BP46" s="924">
        <v>190</v>
      </c>
      <c r="BQ46" s="924">
        <v>212</v>
      </c>
      <c r="BR46" s="924">
        <v>237</v>
      </c>
      <c r="BS46" s="924">
        <v>228</v>
      </c>
      <c r="BT46" s="924">
        <v>210</v>
      </c>
      <c r="BU46" s="924">
        <v>239</v>
      </c>
      <c r="BV46" s="924">
        <v>233</v>
      </c>
      <c r="BW46" s="924">
        <v>208</v>
      </c>
      <c r="BX46" s="924">
        <v>229</v>
      </c>
      <c r="BY46" s="924">
        <v>203</v>
      </c>
      <c r="BZ46" s="924">
        <v>235</v>
      </c>
      <c r="CA46" s="924">
        <v>245</v>
      </c>
      <c r="CB46" s="924">
        <v>189</v>
      </c>
      <c r="CC46" s="924">
        <v>206</v>
      </c>
      <c r="CD46" s="924">
        <v>183</v>
      </c>
      <c r="CE46" s="924">
        <v>209</v>
      </c>
      <c r="CF46" s="924">
        <v>179</v>
      </c>
      <c r="CG46" s="924">
        <v>198</v>
      </c>
      <c r="CH46" s="924">
        <v>163</v>
      </c>
      <c r="CI46" s="924">
        <v>148</v>
      </c>
      <c r="CJ46" s="924">
        <v>186</v>
      </c>
      <c r="CK46" s="924">
        <v>156</v>
      </c>
      <c r="CL46" s="924">
        <v>180</v>
      </c>
      <c r="CM46" s="924">
        <v>180</v>
      </c>
      <c r="CN46" s="924">
        <v>106</v>
      </c>
      <c r="CO46" s="924">
        <v>118</v>
      </c>
      <c r="CP46" s="924">
        <v>119</v>
      </c>
      <c r="CQ46" s="924">
        <v>101</v>
      </c>
      <c r="CR46" s="924">
        <v>99</v>
      </c>
      <c r="CS46" s="924">
        <v>74</v>
      </c>
      <c r="CT46" s="924">
        <v>76</v>
      </c>
      <c r="CU46" s="924">
        <v>79</v>
      </c>
      <c r="CV46" s="924">
        <v>63</v>
      </c>
      <c r="CW46" s="924">
        <v>49</v>
      </c>
      <c r="CX46" s="924">
        <v>38</v>
      </c>
      <c r="CY46" s="924">
        <v>35</v>
      </c>
      <c r="CZ46" s="924">
        <v>35</v>
      </c>
      <c r="DA46" s="926">
        <v>105</v>
      </c>
      <c r="DB46" s="39">
        <v>77</v>
      </c>
      <c r="DC46" s="39">
        <v>94</v>
      </c>
      <c r="DD46" s="39">
        <v>85</v>
      </c>
      <c r="DE46" s="39">
        <v>114</v>
      </c>
      <c r="DF46" s="39">
        <v>117</v>
      </c>
      <c r="DG46" s="39">
        <v>99</v>
      </c>
      <c r="DH46" s="39">
        <v>107</v>
      </c>
      <c r="DI46" s="39">
        <v>123</v>
      </c>
      <c r="DJ46" s="39">
        <v>119</v>
      </c>
      <c r="DK46" s="39">
        <v>137</v>
      </c>
      <c r="DL46" s="39">
        <v>148</v>
      </c>
      <c r="DM46" s="39">
        <v>120</v>
      </c>
      <c r="DN46" s="39">
        <v>135</v>
      </c>
      <c r="DO46" s="39">
        <v>128</v>
      </c>
      <c r="DP46" s="39">
        <v>135</v>
      </c>
      <c r="DQ46" s="39">
        <v>115</v>
      </c>
      <c r="DR46" s="39">
        <v>148</v>
      </c>
      <c r="DS46" s="39">
        <v>137</v>
      </c>
      <c r="DT46" s="39">
        <v>104</v>
      </c>
      <c r="DU46" s="39">
        <v>108</v>
      </c>
      <c r="DV46" s="39">
        <v>77</v>
      </c>
      <c r="DW46" s="39">
        <v>75</v>
      </c>
      <c r="DX46" s="39">
        <v>94</v>
      </c>
      <c r="DY46" s="39">
        <v>85</v>
      </c>
      <c r="DZ46" s="39">
        <v>80</v>
      </c>
      <c r="EA46" s="39">
        <v>83</v>
      </c>
      <c r="EB46" s="39">
        <v>102</v>
      </c>
      <c r="EC46" s="39">
        <v>128</v>
      </c>
      <c r="ED46" s="39">
        <v>127</v>
      </c>
      <c r="EE46" s="39">
        <v>131</v>
      </c>
      <c r="EF46" s="39">
        <v>100</v>
      </c>
      <c r="EG46" s="39">
        <v>122</v>
      </c>
      <c r="EH46" s="39">
        <v>129</v>
      </c>
      <c r="EI46" s="39">
        <v>134</v>
      </c>
      <c r="EJ46" s="39">
        <v>135</v>
      </c>
      <c r="EK46" s="39">
        <v>154</v>
      </c>
      <c r="EL46" s="39">
        <v>129</v>
      </c>
      <c r="EM46" s="39">
        <v>116</v>
      </c>
      <c r="EN46" s="39">
        <v>120</v>
      </c>
      <c r="EO46" s="39">
        <v>130</v>
      </c>
      <c r="EP46" s="39">
        <v>140</v>
      </c>
      <c r="EQ46" s="39">
        <v>154</v>
      </c>
      <c r="ER46" s="39">
        <v>158</v>
      </c>
      <c r="ES46" s="39">
        <v>171</v>
      </c>
      <c r="ET46" s="39">
        <v>187</v>
      </c>
      <c r="EU46" s="39">
        <v>152</v>
      </c>
      <c r="EV46" s="39">
        <v>153</v>
      </c>
      <c r="EW46" s="39">
        <v>182</v>
      </c>
      <c r="EX46" s="39">
        <v>152</v>
      </c>
      <c r="EY46" s="39">
        <v>155</v>
      </c>
      <c r="EZ46" s="39">
        <v>165</v>
      </c>
      <c r="FA46" s="39">
        <v>210</v>
      </c>
      <c r="FB46" s="39">
        <v>170</v>
      </c>
      <c r="FC46" s="39">
        <v>210</v>
      </c>
      <c r="FD46" s="39">
        <v>232</v>
      </c>
      <c r="FE46" s="39">
        <v>236</v>
      </c>
      <c r="FF46" s="39">
        <v>213</v>
      </c>
      <c r="FG46" s="39">
        <v>225</v>
      </c>
      <c r="FH46" s="39">
        <v>226</v>
      </c>
      <c r="FI46" s="39">
        <v>215</v>
      </c>
      <c r="FJ46" s="39">
        <v>245</v>
      </c>
      <c r="FK46" s="39">
        <v>237</v>
      </c>
      <c r="FL46" s="39">
        <v>211</v>
      </c>
      <c r="FM46" s="39">
        <v>194</v>
      </c>
      <c r="FN46" s="39">
        <v>187</v>
      </c>
      <c r="FO46" s="39">
        <v>201</v>
      </c>
      <c r="FP46" s="39">
        <v>191</v>
      </c>
      <c r="FQ46" s="39">
        <v>201</v>
      </c>
      <c r="FR46" s="39">
        <v>193</v>
      </c>
      <c r="FS46" s="39">
        <v>182</v>
      </c>
      <c r="FT46" s="39">
        <v>166</v>
      </c>
      <c r="FU46" s="39">
        <v>201</v>
      </c>
      <c r="FV46" s="39">
        <v>181</v>
      </c>
      <c r="FW46" s="39">
        <v>175</v>
      </c>
      <c r="FX46" s="39">
        <v>172</v>
      </c>
      <c r="FY46" s="39">
        <v>159</v>
      </c>
      <c r="FZ46" s="39">
        <v>208</v>
      </c>
      <c r="GA46" s="39">
        <v>144</v>
      </c>
      <c r="GB46" s="39">
        <v>120</v>
      </c>
      <c r="GC46" s="39">
        <v>116</v>
      </c>
      <c r="GD46" s="39">
        <v>148</v>
      </c>
      <c r="GE46" s="39">
        <v>104</v>
      </c>
      <c r="GF46" s="39">
        <v>138</v>
      </c>
      <c r="GG46" s="39">
        <v>126</v>
      </c>
      <c r="GH46" s="39">
        <v>105</v>
      </c>
      <c r="GI46" s="39">
        <v>95</v>
      </c>
      <c r="GJ46" s="39">
        <v>73</v>
      </c>
      <c r="GK46" s="39">
        <v>71</v>
      </c>
      <c r="GL46" s="39">
        <v>61</v>
      </c>
      <c r="GM46" s="39">
        <v>40</v>
      </c>
      <c r="GN46" s="40">
        <v>201</v>
      </c>
    </row>
    <row r="47" spans="1:196" s="1" customFormat="1" x14ac:dyDescent="0.2">
      <c r="A47" s="41" t="s">
        <v>1039</v>
      </c>
      <c r="B47" s="284" t="s">
        <v>1014</v>
      </c>
      <c r="C47" s="24" t="str">
        <f t="shared" si="10"/>
        <v>Council area - North Ayrshire</v>
      </c>
      <c r="D47" s="32">
        <f t="shared" si="17"/>
        <v>61090</v>
      </c>
      <c r="E47" s="32">
        <f t="shared" si="17"/>
        <v>66991</v>
      </c>
      <c r="F47" s="33">
        <f t="shared" si="18"/>
        <v>133570</v>
      </c>
      <c r="G47" s="33">
        <f t="shared" si="19"/>
        <v>63920</v>
      </c>
      <c r="H47" s="34">
        <f t="shared" si="20"/>
        <v>69650</v>
      </c>
      <c r="I47" s="390">
        <f t="shared" si="13"/>
        <v>61090</v>
      </c>
      <c r="J47" s="34">
        <f t="shared" si="14"/>
        <v>66991</v>
      </c>
      <c r="K47" s="55">
        <f t="shared" si="11"/>
        <v>8778</v>
      </c>
      <c r="L47" s="32">
        <f t="shared" si="12"/>
        <v>8315</v>
      </c>
      <c r="M47" s="55">
        <f t="shared" si="15"/>
        <v>56184</v>
      </c>
      <c r="N47" s="32">
        <f t="shared" si="16"/>
        <v>62409</v>
      </c>
      <c r="O47" s="924">
        <v>521</v>
      </c>
      <c r="P47" s="924">
        <v>579</v>
      </c>
      <c r="Q47" s="924">
        <v>548</v>
      </c>
      <c r="R47" s="924">
        <v>601</v>
      </c>
      <c r="S47" s="924">
        <v>581</v>
      </c>
      <c r="T47" s="924">
        <v>650</v>
      </c>
      <c r="U47" s="924">
        <v>603</v>
      </c>
      <c r="V47" s="924">
        <v>720</v>
      </c>
      <c r="W47" s="924">
        <v>686</v>
      </c>
      <c r="X47" s="924">
        <v>705</v>
      </c>
      <c r="Y47" s="924">
        <v>722</v>
      </c>
      <c r="Z47" s="924">
        <v>820</v>
      </c>
      <c r="AA47" s="924">
        <v>776</v>
      </c>
      <c r="AB47" s="924">
        <v>726</v>
      </c>
      <c r="AC47" s="924">
        <v>797</v>
      </c>
      <c r="AD47" s="924">
        <v>794</v>
      </c>
      <c r="AE47" s="924">
        <v>779</v>
      </c>
      <c r="AF47" s="924">
        <v>831</v>
      </c>
      <c r="AG47" s="924">
        <v>739</v>
      </c>
      <c r="AH47" s="924">
        <v>662</v>
      </c>
      <c r="AI47" s="924">
        <v>718</v>
      </c>
      <c r="AJ47" s="924">
        <v>688</v>
      </c>
      <c r="AK47" s="924">
        <v>709</v>
      </c>
      <c r="AL47" s="924">
        <v>665</v>
      </c>
      <c r="AM47" s="924">
        <v>645</v>
      </c>
      <c r="AN47" s="924">
        <v>638</v>
      </c>
      <c r="AO47" s="924">
        <v>732</v>
      </c>
      <c r="AP47" s="924">
        <v>625</v>
      </c>
      <c r="AQ47" s="924">
        <v>677</v>
      </c>
      <c r="AR47" s="924">
        <v>661</v>
      </c>
      <c r="AS47" s="924">
        <v>646</v>
      </c>
      <c r="AT47" s="924">
        <v>710</v>
      </c>
      <c r="AU47" s="924">
        <v>723</v>
      </c>
      <c r="AV47" s="924">
        <v>679</v>
      </c>
      <c r="AW47" s="924">
        <v>673</v>
      </c>
      <c r="AX47" s="924">
        <v>640</v>
      </c>
      <c r="AY47" s="924">
        <v>688</v>
      </c>
      <c r="AZ47" s="924">
        <v>666</v>
      </c>
      <c r="BA47" s="924">
        <v>694</v>
      </c>
      <c r="BB47" s="924">
        <v>688</v>
      </c>
      <c r="BC47" s="924">
        <v>701</v>
      </c>
      <c r="BD47" s="924">
        <v>697</v>
      </c>
      <c r="BE47" s="924">
        <v>734</v>
      </c>
      <c r="BF47" s="924">
        <v>672</v>
      </c>
      <c r="BG47" s="924">
        <v>710</v>
      </c>
      <c r="BH47" s="924">
        <v>645</v>
      </c>
      <c r="BI47" s="924">
        <v>639</v>
      </c>
      <c r="BJ47" s="924">
        <v>763</v>
      </c>
      <c r="BK47" s="924">
        <v>712</v>
      </c>
      <c r="BL47" s="924">
        <v>843</v>
      </c>
      <c r="BM47" s="924">
        <v>799</v>
      </c>
      <c r="BN47" s="924">
        <v>850</v>
      </c>
      <c r="BO47" s="924">
        <v>908</v>
      </c>
      <c r="BP47" s="924">
        <v>933</v>
      </c>
      <c r="BQ47" s="924">
        <v>1006</v>
      </c>
      <c r="BR47" s="924">
        <v>981</v>
      </c>
      <c r="BS47" s="924">
        <v>1026</v>
      </c>
      <c r="BT47" s="924">
        <v>1023</v>
      </c>
      <c r="BU47" s="924">
        <v>1115</v>
      </c>
      <c r="BV47" s="924">
        <v>1095</v>
      </c>
      <c r="BW47" s="924">
        <v>998</v>
      </c>
      <c r="BX47" s="924">
        <v>1084</v>
      </c>
      <c r="BY47" s="924">
        <v>963</v>
      </c>
      <c r="BZ47" s="924">
        <v>958</v>
      </c>
      <c r="CA47" s="924">
        <v>1045</v>
      </c>
      <c r="CB47" s="924">
        <v>927</v>
      </c>
      <c r="CC47" s="924">
        <v>907</v>
      </c>
      <c r="CD47" s="924">
        <v>904</v>
      </c>
      <c r="CE47" s="924">
        <v>858</v>
      </c>
      <c r="CF47" s="924">
        <v>806</v>
      </c>
      <c r="CG47" s="924">
        <v>786</v>
      </c>
      <c r="CH47" s="924">
        <v>810</v>
      </c>
      <c r="CI47" s="924">
        <v>775</v>
      </c>
      <c r="CJ47" s="924">
        <v>740</v>
      </c>
      <c r="CK47" s="924">
        <v>746</v>
      </c>
      <c r="CL47" s="924">
        <v>817</v>
      </c>
      <c r="CM47" s="924">
        <v>775</v>
      </c>
      <c r="CN47" s="924">
        <v>598</v>
      </c>
      <c r="CO47" s="924">
        <v>575</v>
      </c>
      <c r="CP47" s="924">
        <v>537</v>
      </c>
      <c r="CQ47" s="924">
        <v>489</v>
      </c>
      <c r="CR47" s="924">
        <v>355</v>
      </c>
      <c r="CS47" s="924">
        <v>315</v>
      </c>
      <c r="CT47" s="924">
        <v>337</v>
      </c>
      <c r="CU47" s="924">
        <v>288</v>
      </c>
      <c r="CV47" s="924">
        <v>229</v>
      </c>
      <c r="CW47" s="924">
        <v>200</v>
      </c>
      <c r="CX47" s="924">
        <v>187</v>
      </c>
      <c r="CY47" s="924">
        <v>158</v>
      </c>
      <c r="CZ47" s="924">
        <v>113</v>
      </c>
      <c r="DA47" s="926">
        <v>383</v>
      </c>
      <c r="DB47" s="39">
        <v>501</v>
      </c>
      <c r="DC47" s="39">
        <v>511</v>
      </c>
      <c r="DD47" s="39">
        <v>553</v>
      </c>
      <c r="DE47" s="39">
        <v>572</v>
      </c>
      <c r="DF47" s="39">
        <v>522</v>
      </c>
      <c r="DG47" s="39">
        <v>580</v>
      </c>
      <c r="DH47" s="39">
        <v>595</v>
      </c>
      <c r="DI47" s="39">
        <v>644</v>
      </c>
      <c r="DJ47" s="39">
        <v>648</v>
      </c>
      <c r="DK47" s="39">
        <v>693</v>
      </c>
      <c r="DL47" s="39">
        <v>646</v>
      </c>
      <c r="DM47" s="39">
        <v>776</v>
      </c>
      <c r="DN47" s="39">
        <v>794</v>
      </c>
      <c r="DO47" s="39">
        <v>755</v>
      </c>
      <c r="DP47" s="39">
        <v>732</v>
      </c>
      <c r="DQ47" s="39">
        <v>748</v>
      </c>
      <c r="DR47" s="39">
        <v>704</v>
      </c>
      <c r="DS47" s="39">
        <v>775</v>
      </c>
      <c r="DT47" s="39">
        <v>675</v>
      </c>
      <c r="DU47" s="39">
        <v>612</v>
      </c>
      <c r="DV47" s="39">
        <v>564</v>
      </c>
      <c r="DW47" s="39">
        <v>633</v>
      </c>
      <c r="DX47" s="39">
        <v>693</v>
      </c>
      <c r="DY47" s="39">
        <v>680</v>
      </c>
      <c r="DZ47" s="39">
        <v>635</v>
      </c>
      <c r="EA47" s="39">
        <v>653</v>
      </c>
      <c r="EB47" s="39">
        <v>706</v>
      </c>
      <c r="EC47" s="39">
        <v>666</v>
      </c>
      <c r="ED47" s="39">
        <v>684</v>
      </c>
      <c r="EE47" s="39">
        <v>752</v>
      </c>
      <c r="EF47" s="39">
        <v>704</v>
      </c>
      <c r="EG47" s="39">
        <v>784</v>
      </c>
      <c r="EH47" s="39">
        <v>797</v>
      </c>
      <c r="EI47" s="39">
        <v>759</v>
      </c>
      <c r="EJ47" s="39">
        <v>804</v>
      </c>
      <c r="EK47" s="39">
        <v>837</v>
      </c>
      <c r="EL47" s="39">
        <v>744</v>
      </c>
      <c r="EM47" s="39">
        <v>812</v>
      </c>
      <c r="EN47" s="39">
        <v>806</v>
      </c>
      <c r="EO47" s="39">
        <v>753</v>
      </c>
      <c r="EP47" s="39">
        <v>786</v>
      </c>
      <c r="EQ47" s="39">
        <v>840</v>
      </c>
      <c r="ER47" s="39">
        <v>850</v>
      </c>
      <c r="ES47" s="39">
        <v>780</v>
      </c>
      <c r="ET47" s="39">
        <v>770</v>
      </c>
      <c r="EU47" s="39">
        <v>756</v>
      </c>
      <c r="EV47" s="39">
        <v>711</v>
      </c>
      <c r="EW47" s="39">
        <v>857</v>
      </c>
      <c r="EX47" s="39">
        <v>894</v>
      </c>
      <c r="EY47" s="39">
        <v>827</v>
      </c>
      <c r="EZ47" s="39">
        <v>926</v>
      </c>
      <c r="FA47" s="39">
        <v>1042</v>
      </c>
      <c r="FB47" s="39">
        <v>1051</v>
      </c>
      <c r="FC47" s="39">
        <v>1050</v>
      </c>
      <c r="FD47" s="39">
        <v>1049</v>
      </c>
      <c r="FE47" s="39">
        <v>1078</v>
      </c>
      <c r="FF47" s="39">
        <v>1130</v>
      </c>
      <c r="FG47" s="39">
        <v>1173</v>
      </c>
      <c r="FH47" s="39">
        <v>1184</v>
      </c>
      <c r="FI47" s="39">
        <v>1202</v>
      </c>
      <c r="FJ47" s="39">
        <v>1206</v>
      </c>
      <c r="FK47" s="39">
        <v>1099</v>
      </c>
      <c r="FL47" s="39">
        <v>1052</v>
      </c>
      <c r="FM47" s="39">
        <v>1046</v>
      </c>
      <c r="FN47" s="39">
        <v>1100</v>
      </c>
      <c r="FO47" s="39">
        <v>1088</v>
      </c>
      <c r="FP47" s="39">
        <v>1006</v>
      </c>
      <c r="FQ47" s="39">
        <v>1009</v>
      </c>
      <c r="FR47" s="39">
        <v>908</v>
      </c>
      <c r="FS47" s="39">
        <v>944</v>
      </c>
      <c r="FT47" s="39">
        <v>970</v>
      </c>
      <c r="FU47" s="39">
        <v>847</v>
      </c>
      <c r="FV47" s="39">
        <v>865</v>
      </c>
      <c r="FW47" s="39">
        <v>799</v>
      </c>
      <c r="FX47" s="39">
        <v>899</v>
      </c>
      <c r="FY47" s="39">
        <v>896</v>
      </c>
      <c r="FZ47" s="39">
        <v>913</v>
      </c>
      <c r="GA47" s="39">
        <v>703</v>
      </c>
      <c r="GB47" s="39">
        <v>636</v>
      </c>
      <c r="GC47" s="39">
        <v>617</v>
      </c>
      <c r="GD47" s="39">
        <v>611</v>
      </c>
      <c r="GE47" s="39">
        <v>574</v>
      </c>
      <c r="GF47" s="39">
        <v>477</v>
      </c>
      <c r="GG47" s="39">
        <v>443</v>
      </c>
      <c r="GH47" s="39">
        <v>364</v>
      </c>
      <c r="GI47" s="39">
        <v>381</v>
      </c>
      <c r="GJ47" s="39">
        <v>295</v>
      </c>
      <c r="GK47" s="39">
        <v>272</v>
      </c>
      <c r="GL47" s="39">
        <v>229</v>
      </c>
      <c r="GM47" s="39">
        <v>220</v>
      </c>
      <c r="GN47" s="40">
        <v>723</v>
      </c>
    </row>
    <row r="48" spans="1:196" s="1" customFormat="1" x14ac:dyDescent="0.2">
      <c r="A48" s="41" t="s">
        <v>1039</v>
      </c>
      <c r="B48" s="284" t="s">
        <v>1015</v>
      </c>
      <c r="C48" s="24" t="str">
        <f t="shared" si="10"/>
        <v>Council area - North Lanarkshire</v>
      </c>
      <c r="D48" s="32">
        <f t="shared" si="17"/>
        <v>157737</v>
      </c>
      <c r="E48" s="32">
        <f t="shared" si="17"/>
        <v>167463</v>
      </c>
      <c r="F48" s="33">
        <f t="shared" si="18"/>
        <v>341890</v>
      </c>
      <c r="G48" s="33">
        <f t="shared" si="19"/>
        <v>166312</v>
      </c>
      <c r="H48" s="34">
        <f t="shared" si="20"/>
        <v>175578</v>
      </c>
      <c r="I48" s="390">
        <f t="shared" si="13"/>
        <v>157737</v>
      </c>
      <c r="J48" s="34">
        <f t="shared" si="14"/>
        <v>167463</v>
      </c>
      <c r="K48" s="55">
        <f t="shared" si="11"/>
        <v>24205</v>
      </c>
      <c r="L48" s="32">
        <f t="shared" si="12"/>
        <v>22988</v>
      </c>
      <c r="M48" s="55">
        <f t="shared" si="15"/>
        <v>144099</v>
      </c>
      <c r="N48" s="32">
        <f t="shared" si="16"/>
        <v>154596</v>
      </c>
      <c r="O48" s="924">
        <v>1573</v>
      </c>
      <c r="P48" s="924">
        <v>1612</v>
      </c>
      <c r="Q48" s="924">
        <v>1792</v>
      </c>
      <c r="R48" s="924">
        <v>1680</v>
      </c>
      <c r="S48" s="924">
        <v>1918</v>
      </c>
      <c r="T48" s="924">
        <v>1806</v>
      </c>
      <c r="U48" s="924">
        <v>1911</v>
      </c>
      <c r="V48" s="924">
        <v>1812</v>
      </c>
      <c r="W48" s="924">
        <v>2043</v>
      </c>
      <c r="X48" s="924">
        <v>1915</v>
      </c>
      <c r="Y48" s="924">
        <v>2046</v>
      </c>
      <c r="Z48" s="924">
        <v>2105</v>
      </c>
      <c r="AA48" s="924">
        <v>2072</v>
      </c>
      <c r="AB48" s="924">
        <v>2129</v>
      </c>
      <c r="AC48" s="924">
        <v>2056</v>
      </c>
      <c r="AD48" s="924">
        <v>2221</v>
      </c>
      <c r="AE48" s="924">
        <v>2089</v>
      </c>
      <c r="AF48" s="924">
        <v>2089</v>
      </c>
      <c r="AG48" s="924">
        <v>1897</v>
      </c>
      <c r="AH48" s="924">
        <v>2147</v>
      </c>
      <c r="AI48" s="924">
        <v>1836</v>
      </c>
      <c r="AJ48" s="924">
        <v>1958</v>
      </c>
      <c r="AK48" s="924">
        <v>1937</v>
      </c>
      <c r="AL48" s="924">
        <v>2123</v>
      </c>
      <c r="AM48" s="924">
        <v>2110</v>
      </c>
      <c r="AN48" s="924">
        <v>2011</v>
      </c>
      <c r="AO48" s="924">
        <v>2049</v>
      </c>
      <c r="AP48" s="924">
        <v>1990</v>
      </c>
      <c r="AQ48" s="924">
        <v>1960</v>
      </c>
      <c r="AR48" s="924">
        <v>2024</v>
      </c>
      <c r="AS48" s="924">
        <v>2093</v>
      </c>
      <c r="AT48" s="924">
        <v>2116</v>
      </c>
      <c r="AU48" s="924">
        <v>2217</v>
      </c>
      <c r="AV48" s="924">
        <v>2141</v>
      </c>
      <c r="AW48" s="924">
        <v>2053</v>
      </c>
      <c r="AX48" s="924">
        <v>2228</v>
      </c>
      <c r="AY48" s="924">
        <v>1947</v>
      </c>
      <c r="AZ48" s="924">
        <v>2102</v>
      </c>
      <c r="BA48" s="924">
        <v>2126</v>
      </c>
      <c r="BB48" s="924">
        <v>2073</v>
      </c>
      <c r="BC48" s="924">
        <v>2243</v>
      </c>
      <c r="BD48" s="924">
        <v>2217</v>
      </c>
      <c r="BE48" s="924">
        <v>2324</v>
      </c>
      <c r="BF48" s="924">
        <v>2291</v>
      </c>
      <c r="BG48" s="924">
        <v>2244</v>
      </c>
      <c r="BH48" s="924">
        <v>2019</v>
      </c>
      <c r="BI48" s="924">
        <v>1848</v>
      </c>
      <c r="BJ48" s="924">
        <v>2088</v>
      </c>
      <c r="BK48" s="924">
        <v>2172</v>
      </c>
      <c r="BL48" s="924">
        <v>2206</v>
      </c>
      <c r="BM48" s="924">
        <v>2308</v>
      </c>
      <c r="BN48" s="924">
        <v>2307</v>
      </c>
      <c r="BO48" s="924">
        <v>2503</v>
      </c>
      <c r="BP48" s="924">
        <v>2581</v>
      </c>
      <c r="BQ48" s="924">
        <v>2633</v>
      </c>
      <c r="BR48" s="924">
        <v>2632</v>
      </c>
      <c r="BS48" s="924">
        <v>2686</v>
      </c>
      <c r="BT48" s="924">
        <v>2637</v>
      </c>
      <c r="BU48" s="924">
        <v>2632</v>
      </c>
      <c r="BV48" s="924">
        <v>2551</v>
      </c>
      <c r="BW48" s="924">
        <v>2357</v>
      </c>
      <c r="BX48" s="924">
        <v>2476</v>
      </c>
      <c r="BY48" s="924">
        <v>2243</v>
      </c>
      <c r="BZ48" s="924">
        <v>2131</v>
      </c>
      <c r="CA48" s="924">
        <v>2026</v>
      </c>
      <c r="CB48" s="924">
        <v>2009</v>
      </c>
      <c r="CC48" s="924">
        <v>1984</v>
      </c>
      <c r="CD48" s="924">
        <v>1829</v>
      </c>
      <c r="CE48" s="924">
        <v>1711</v>
      </c>
      <c r="CF48" s="924">
        <v>1677</v>
      </c>
      <c r="CG48" s="924">
        <v>1646</v>
      </c>
      <c r="CH48" s="924">
        <v>1540</v>
      </c>
      <c r="CI48" s="924">
        <v>1445</v>
      </c>
      <c r="CJ48" s="924">
        <v>1480</v>
      </c>
      <c r="CK48" s="924">
        <v>1431</v>
      </c>
      <c r="CL48" s="924">
        <v>1380</v>
      </c>
      <c r="CM48" s="924">
        <v>1444</v>
      </c>
      <c r="CN48" s="924">
        <v>1077</v>
      </c>
      <c r="CO48" s="924">
        <v>920</v>
      </c>
      <c r="CP48" s="924">
        <v>900</v>
      </c>
      <c r="CQ48" s="924">
        <v>821</v>
      </c>
      <c r="CR48" s="924">
        <v>700</v>
      </c>
      <c r="CS48" s="924">
        <v>621</v>
      </c>
      <c r="CT48" s="924">
        <v>572</v>
      </c>
      <c r="CU48" s="924">
        <v>530</v>
      </c>
      <c r="CV48" s="924">
        <v>488</v>
      </c>
      <c r="CW48" s="924">
        <v>350</v>
      </c>
      <c r="CX48" s="924">
        <v>316</v>
      </c>
      <c r="CY48" s="924">
        <v>239</v>
      </c>
      <c r="CZ48" s="924">
        <v>207</v>
      </c>
      <c r="DA48" s="926">
        <v>633</v>
      </c>
      <c r="DB48" s="39">
        <v>1539</v>
      </c>
      <c r="DC48" s="39">
        <v>1503</v>
      </c>
      <c r="DD48" s="39">
        <v>1571</v>
      </c>
      <c r="DE48" s="39">
        <v>1713</v>
      </c>
      <c r="DF48" s="39">
        <v>1789</v>
      </c>
      <c r="DG48" s="39">
        <v>1677</v>
      </c>
      <c r="DH48" s="39">
        <v>1819</v>
      </c>
      <c r="DI48" s="39">
        <v>1734</v>
      </c>
      <c r="DJ48" s="39">
        <v>1963</v>
      </c>
      <c r="DK48" s="39">
        <v>1906</v>
      </c>
      <c r="DL48" s="39">
        <v>1843</v>
      </c>
      <c r="DM48" s="39">
        <v>1925</v>
      </c>
      <c r="DN48" s="39">
        <v>1995</v>
      </c>
      <c r="DO48" s="39">
        <v>2083</v>
      </c>
      <c r="DP48" s="39">
        <v>2100</v>
      </c>
      <c r="DQ48" s="39">
        <v>2019</v>
      </c>
      <c r="DR48" s="39">
        <v>1924</v>
      </c>
      <c r="DS48" s="39">
        <v>1961</v>
      </c>
      <c r="DT48" s="39">
        <v>1770</v>
      </c>
      <c r="DU48" s="39">
        <v>1971</v>
      </c>
      <c r="DV48" s="39">
        <v>1830</v>
      </c>
      <c r="DW48" s="39">
        <v>1921</v>
      </c>
      <c r="DX48" s="39">
        <v>1899</v>
      </c>
      <c r="DY48" s="39">
        <v>2008</v>
      </c>
      <c r="DZ48" s="39">
        <v>1970</v>
      </c>
      <c r="EA48" s="39">
        <v>2084</v>
      </c>
      <c r="EB48" s="39">
        <v>2045</v>
      </c>
      <c r="EC48" s="39">
        <v>2014</v>
      </c>
      <c r="ED48" s="39">
        <v>2062</v>
      </c>
      <c r="EE48" s="39">
        <v>2002</v>
      </c>
      <c r="EF48" s="39">
        <v>2221</v>
      </c>
      <c r="EG48" s="39">
        <v>2246</v>
      </c>
      <c r="EH48" s="39">
        <v>2378</v>
      </c>
      <c r="EI48" s="39">
        <v>2244</v>
      </c>
      <c r="EJ48" s="39">
        <v>2287</v>
      </c>
      <c r="EK48" s="39">
        <v>2362</v>
      </c>
      <c r="EL48" s="39">
        <v>2235</v>
      </c>
      <c r="EM48" s="39">
        <v>2292</v>
      </c>
      <c r="EN48" s="39">
        <v>2381</v>
      </c>
      <c r="EO48" s="39">
        <v>2324</v>
      </c>
      <c r="EP48" s="39">
        <v>2295</v>
      </c>
      <c r="EQ48" s="39">
        <v>2295</v>
      </c>
      <c r="ER48" s="39">
        <v>2457</v>
      </c>
      <c r="ES48" s="39">
        <v>2317</v>
      </c>
      <c r="ET48" s="39">
        <v>2224</v>
      </c>
      <c r="EU48" s="39">
        <v>2162</v>
      </c>
      <c r="EV48" s="39">
        <v>2001</v>
      </c>
      <c r="EW48" s="39">
        <v>2254</v>
      </c>
      <c r="EX48" s="39">
        <v>2191</v>
      </c>
      <c r="EY48" s="39">
        <v>2260</v>
      </c>
      <c r="EZ48" s="39">
        <v>2412</v>
      </c>
      <c r="FA48" s="39">
        <v>2584</v>
      </c>
      <c r="FB48" s="39">
        <v>2670</v>
      </c>
      <c r="FC48" s="39">
        <v>2690</v>
      </c>
      <c r="FD48" s="39">
        <v>2770</v>
      </c>
      <c r="FE48" s="39">
        <v>2769</v>
      </c>
      <c r="FF48" s="39">
        <v>2796</v>
      </c>
      <c r="FG48" s="39">
        <v>2765</v>
      </c>
      <c r="FH48" s="39">
        <v>2731</v>
      </c>
      <c r="FI48" s="39">
        <v>2685</v>
      </c>
      <c r="FJ48" s="39">
        <v>2686</v>
      </c>
      <c r="FK48" s="39">
        <v>2468</v>
      </c>
      <c r="FL48" s="39">
        <v>2352</v>
      </c>
      <c r="FM48" s="39">
        <v>2327</v>
      </c>
      <c r="FN48" s="39">
        <v>2215</v>
      </c>
      <c r="FO48" s="39">
        <v>2328</v>
      </c>
      <c r="FP48" s="39">
        <v>2123</v>
      </c>
      <c r="FQ48" s="39">
        <v>2022</v>
      </c>
      <c r="FR48" s="39">
        <v>1999</v>
      </c>
      <c r="FS48" s="39">
        <v>1856</v>
      </c>
      <c r="FT48" s="39">
        <v>1801</v>
      </c>
      <c r="FU48" s="39">
        <v>1691</v>
      </c>
      <c r="FV48" s="39">
        <v>1635</v>
      </c>
      <c r="FW48" s="39">
        <v>1666</v>
      </c>
      <c r="FX48" s="39">
        <v>1660</v>
      </c>
      <c r="FY48" s="39">
        <v>1637</v>
      </c>
      <c r="FZ48" s="39">
        <v>1643</v>
      </c>
      <c r="GA48" s="39">
        <v>1287</v>
      </c>
      <c r="GB48" s="39">
        <v>1215</v>
      </c>
      <c r="GC48" s="39">
        <v>1181</v>
      </c>
      <c r="GD48" s="39">
        <v>1216</v>
      </c>
      <c r="GE48" s="39">
        <v>1067</v>
      </c>
      <c r="GF48" s="39">
        <v>836</v>
      </c>
      <c r="GG48" s="39">
        <v>868</v>
      </c>
      <c r="GH48" s="39">
        <v>869</v>
      </c>
      <c r="GI48" s="39">
        <v>718</v>
      </c>
      <c r="GJ48" s="39">
        <v>580</v>
      </c>
      <c r="GK48" s="39">
        <v>581</v>
      </c>
      <c r="GL48" s="39">
        <v>489</v>
      </c>
      <c r="GM48" s="39">
        <v>388</v>
      </c>
      <c r="GN48" s="40">
        <v>1236</v>
      </c>
    </row>
    <row r="49" spans="1:196" s="1" customFormat="1" x14ac:dyDescent="0.2">
      <c r="A49" s="41" t="s">
        <v>1039</v>
      </c>
      <c r="B49" s="284" t="s">
        <v>1016</v>
      </c>
      <c r="C49" s="24" t="str">
        <f t="shared" si="10"/>
        <v>Council area - Orkney Islands</v>
      </c>
      <c r="D49" s="32">
        <f t="shared" si="17"/>
        <v>10306</v>
      </c>
      <c r="E49" s="32">
        <f t="shared" si="17"/>
        <v>10761</v>
      </c>
      <c r="F49" s="33">
        <f t="shared" si="18"/>
        <v>22000</v>
      </c>
      <c r="G49" s="33">
        <f t="shared" si="19"/>
        <v>10804</v>
      </c>
      <c r="H49" s="34">
        <f t="shared" si="20"/>
        <v>11196</v>
      </c>
      <c r="I49" s="390">
        <f t="shared" si="13"/>
        <v>10306</v>
      </c>
      <c r="J49" s="34">
        <f t="shared" si="14"/>
        <v>10761</v>
      </c>
      <c r="K49" s="55">
        <f t="shared" si="11"/>
        <v>1429</v>
      </c>
      <c r="L49" s="32">
        <f t="shared" si="12"/>
        <v>1338</v>
      </c>
      <c r="M49" s="55">
        <f t="shared" si="15"/>
        <v>9497</v>
      </c>
      <c r="N49" s="32">
        <f t="shared" si="16"/>
        <v>10020</v>
      </c>
      <c r="O49" s="924">
        <v>95</v>
      </c>
      <c r="P49" s="924">
        <v>91</v>
      </c>
      <c r="Q49" s="924">
        <v>91</v>
      </c>
      <c r="R49" s="924">
        <v>113</v>
      </c>
      <c r="S49" s="924">
        <v>108</v>
      </c>
      <c r="T49" s="924">
        <v>91</v>
      </c>
      <c r="U49" s="924">
        <v>113</v>
      </c>
      <c r="V49" s="924">
        <v>101</v>
      </c>
      <c r="W49" s="924">
        <v>119</v>
      </c>
      <c r="X49" s="924">
        <v>117</v>
      </c>
      <c r="Y49" s="924">
        <v>142</v>
      </c>
      <c r="Z49" s="924">
        <v>126</v>
      </c>
      <c r="AA49" s="924">
        <v>127</v>
      </c>
      <c r="AB49" s="924">
        <v>110</v>
      </c>
      <c r="AC49" s="924">
        <v>142</v>
      </c>
      <c r="AD49" s="924">
        <v>112</v>
      </c>
      <c r="AE49" s="924">
        <v>129</v>
      </c>
      <c r="AF49" s="924">
        <v>119</v>
      </c>
      <c r="AG49" s="924">
        <v>104</v>
      </c>
      <c r="AH49" s="924">
        <v>102</v>
      </c>
      <c r="AI49" s="924">
        <v>68</v>
      </c>
      <c r="AJ49" s="924">
        <v>85</v>
      </c>
      <c r="AK49" s="924">
        <v>80</v>
      </c>
      <c r="AL49" s="924">
        <v>81</v>
      </c>
      <c r="AM49" s="924">
        <v>95</v>
      </c>
      <c r="AN49" s="924">
        <v>93</v>
      </c>
      <c r="AO49" s="924">
        <v>108</v>
      </c>
      <c r="AP49" s="924">
        <v>118</v>
      </c>
      <c r="AQ49" s="924">
        <v>105</v>
      </c>
      <c r="AR49" s="924">
        <v>101</v>
      </c>
      <c r="AS49" s="924">
        <v>102</v>
      </c>
      <c r="AT49" s="924">
        <v>144</v>
      </c>
      <c r="AU49" s="924">
        <v>112</v>
      </c>
      <c r="AV49" s="924">
        <v>154</v>
      </c>
      <c r="AW49" s="924">
        <v>121</v>
      </c>
      <c r="AX49" s="924">
        <v>125</v>
      </c>
      <c r="AY49" s="924">
        <v>126</v>
      </c>
      <c r="AZ49" s="924">
        <v>109</v>
      </c>
      <c r="BA49" s="924">
        <v>138</v>
      </c>
      <c r="BB49" s="924">
        <v>102</v>
      </c>
      <c r="BC49" s="924">
        <v>114</v>
      </c>
      <c r="BD49" s="924">
        <v>111</v>
      </c>
      <c r="BE49" s="924">
        <v>104</v>
      </c>
      <c r="BF49" s="924">
        <v>126</v>
      </c>
      <c r="BG49" s="924">
        <v>104</v>
      </c>
      <c r="BH49" s="924">
        <v>108</v>
      </c>
      <c r="BI49" s="924">
        <v>106</v>
      </c>
      <c r="BJ49" s="924">
        <v>133</v>
      </c>
      <c r="BK49" s="924">
        <v>114</v>
      </c>
      <c r="BL49" s="924">
        <v>98</v>
      </c>
      <c r="BM49" s="924">
        <v>139</v>
      </c>
      <c r="BN49" s="924">
        <v>158</v>
      </c>
      <c r="BO49" s="924">
        <v>139</v>
      </c>
      <c r="BP49" s="924">
        <v>188</v>
      </c>
      <c r="BQ49" s="924">
        <v>169</v>
      </c>
      <c r="BR49" s="924">
        <v>166</v>
      </c>
      <c r="BS49" s="924">
        <v>186</v>
      </c>
      <c r="BT49" s="924">
        <v>186</v>
      </c>
      <c r="BU49" s="924">
        <v>180</v>
      </c>
      <c r="BV49" s="924">
        <v>196</v>
      </c>
      <c r="BW49" s="924">
        <v>206</v>
      </c>
      <c r="BX49" s="924">
        <v>175</v>
      </c>
      <c r="BY49" s="924">
        <v>173</v>
      </c>
      <c r="BZ49" s="924">
        <v>191</v>
      </c>
      <c r="CA49" s="924">
        <v>164</v>
      </c>
      <c r="CB49" s="924">
        <v>165</v>
      </c>
      <c r="CC49" s="924">
        <v>152</v>
      </c>
      <c r="CD49" s="924">
        <v>137</v>
      </c>
      <c r="CE49" s="924">
        <v>138</v>
      </c>
      <c r="CF49" s="924">
        <v>154</v>
      </c>
      <c r="CG49" s="924">
        <v>163</v>
      </c>
      <c r="CH49" s="924">
        <v>132</v>
      </c>
      <c r="CI49" s="924">
        <v>133</v>
      </c>
      <c r="CJ49" s="924">
        <v>113</v>
      </c>
      <c r="CK49" s="924">
        <v>143</v>
      </c>
      <c r="CL49" s="924">
        <v>122</v>
      </c>
      <c r="CM49" s="924">
        <v>163</v>
      </c>
      <c r="CN49" s="924">
        <v>111</v>
      </c>
      <c r="CO49" s="924">
        <v>87</v>
      </c>
      <c r="CP49" s="924">
        <v>109</v>
      </c>
      <c r="CQ49" s="924">
        <v>92</v>
      </c>
      <c r="CR49" s="924">
        <v>67</v>
      </c>
      <c r="CS49" s="924">
        <v>68</v>
      </c>
      <c r="CT49" s="924">
        <v>70</v>
      </c>
      <c r="CU49" s="924">
        <v>71</v>
      </c>
      <c r="CV49" s="924">
        <v>51</v>
      </c>
      <c r="CW49" s="924">
        <v>36</v>
      </c>
      <c r="CX49" s="924">
        <v>31</v>
      </c>
      <c r="CY49" s="924">
        <v>36</v>
      </c>
      <c r="CZ49" s="924">
        <v>33</v>
      </c>
      <c r="DA49" s="926">
        <v>74</v>
      </c>
      <c r="DB49" s="39">
        <v>78</v>
      </c>
      <c r="DC49" s="39">
        <v>74</v>
      </c>
      <c r="DD49" s="39">
        <v>91</v>
      </c>
      <c r="DE49" s="39">
        <v>97</v>
      </c>
      <c r="DF49" s="39">
        <v>95</v>
      </c>
      <c r="DG49" s="39">
        <v>101</v>
      </c>
      <c r="DH49" s="39">
        <v>109</v>
      </c>
      <c r="DI49" s="39">
        <v>105</v>
      </c>
      <c r="DJ49" s="39">
        <v>107</v>
      </c>
      <c r="DK49" s="39">
        <v>104</v>
      </c>
      <c r="DL49" s="39">
        <v>113</v>
      </c>
      <c r="DM49" s="39">
        <v>102</v>
      </c>
      <c r="DN49" s="39">
        <v>115</v>
      </c>
      <c r="DO49" s="39">
        <v>125</v>
      </c>
      <c r="DP49" s="39">
        <v>116</v>
      </c>
      <c r="DQ49" s="39">
        <v>131</v>
      </c>
      <c r="DR49" s="39">
        <v>110</v>
      </c>
      <c r="DS49" s="39">
        <v>124</v>
      </c>
      <c r="DT49" s="39">
        <v>106</v>
      </c>
      <c r="DU49" s="39">
        <v>62</v>
      </c>
      <c r="DV49" s="39">
        <v>78</v>
      </c>
      <c r="DW49" s="39">
        <v>67</v>
      </c>
      <c r="DX49" s="39">
        <v>73</v>
      </c>
      <c r="DY49" s="39">
        <v>93</v>
      </c>
      <c r="DZ49" s="39">
        <v>87</v>
      </c>
      <c r="EA49" s="39">
        <v>83</v>
      </c>
      <c r="EB49" s="39">
        <v>77</v>
      </c>
      <c r="EC49" s="39">
        <v>99</v>
      </c>
      <c r="ED49" s="39">
        <v>119</v>
      </c>
      <c r="EE49" s="39">
        <v>111</v>
      </c>
      <c r="EF49" s="39">
        <v>133</v>
      </c>
      <c r="EG49" s="39">
        <v>134</v>
      </c>
      <c r="EH49" s="39">
        <v>142</v>
      </c>
      <c r="EI49" s="39">
        <v>128</v>
      </c>
      <c r="EJ49" s="39">
        <v>111</v>
      </c>
      <c r="EK49" s="39">
        <v>122</v>
      </c>
      <c r="EL49" s="39">
        <v>130</v>
      </c>
      <c r="EM49" s="39">
        <v>143</v>
      </c>
      <c r="EN49" s="39">
        <v>145</v>
      </c>
      <c r="EO49" s="39">
        <v>128</v>
      </c>
      <c r="EP49" s="39">
        <v>143</v>
      </c>
      <c r="EQ49" s="39">
        <v>116</v>
      </c>
      <c r="ER49" s="39">
        <v>135</v>
      </c>
      <c r="ES49" s="39">
        <v>109</v>
      </c>
      <c r="ET49" s="39">
        <v>163</v>
      </c>
      <c r="EU49" s="39">
        <v>113</v>
      </c>
      <c r="EV49" s="39">
        <v>115</v>
      </c>
      <c r="EW49" s="39">
        <v>119</v>
      </c>
      <c r="EX49" s="39">
        <v>150</v>
      </c>
      <c r="EY49" s="39">
        <v>143</v>
      </c>
      <c r="EZ49" s="39">
        <v>158</v>
      </c>
      <c r="FA49" s="39">
        <v>159</v>
      </c>
      <c r="FB49" s="39">
        <v>177</v>
      </c>
      <c r="FC49" s="39">
        <v>179</v>
      </c>
      <c r="FD49" s="39">
        <v>176</v>
      </c>
      <c r="FE49" s="39">
        <v>187</v>
      </c>
      <c r="FF49" s="39">
        <v>195</v>
      </c>
      <c r="FG49" s="39">
        <v>204</v>
      </c>
      <c r="FH49" s="39">
        <v>192</v>
      </c>
      <c r="FI49" s="39">
        <v>183</v>
      </c>
      <c r="FJ49" s="39">
        <v>184</v>
      </c>
      <c r="FK49" s="39">
        <v>179</v>
      </c>
      <c r="FL49" s="39">
        <v>173</v>
      </c>
      <c r="FM49" s="39">
        <v>172</v>
      </c>
      <c r="FN49" s="39">
        <v>169</v>
      </c>
      <c r="FO49" s="39">
        <v>159</v>
      </c>
      <c r="FP49" s="39">
        <v>166</v>
      </c>
      <c r="FQ49" s="39">
        <v>158</v>
      </c>
      <c r="FR49" s="39">
        <v>145</v>
      </c>
      <c r="FS49" s="39">
        <v>129</v>
      </c>
      <c r="FT49" s="39">
        <v>142</v>
      </c>
      <c r="FU49" s="39">
        <v>133</v>
      </c>
      <c r="FV49" s="39">
        <v>152</v>
      </c>
      <c r="FW49" s="39">
        <v>134</v>
      </c>
      <c r="FX49" s="39">
        <v>126</v>
      </c>
      <c r="FY49" s="39">
        <v>143</v>
      </c>
      <c r="FZ49" s="39">
        <v>160</v>
      </c>
      <c r="GA49" s="39">
        <v>116</v>
      </c>
      <c r="GB49" s="39">
        <v>98</v>
      </c>
      <c r="GC49" s="39">
        <v>103</v>
      </c>
      <c r="GD49" s="39">
        <v>106</v>
      </c>
      <c r="GE49" s="39">
        <v>109</v>
      </c>
      <c r="GF49" s="39">
        <v>72</v>
      </c>
      <c r="GG49" s="39">
        <v>94</v>
      </c>
      <c r="GH49" s="39">
        <v>58</v>
      </c>
      <c r="GI49" s="39">
        <v>63</v>
      </c>
      <c r="GJ49" s="39">
        <v>68</v>
      </c>
      <c r="GK49" s="39">
        <v>43</v>
      </c>
      <c r="GL49" s="39">
        <v>44</v>
      </c>
      <c r="GM49" s="39">
        <v>49</v>
      </c>
      <c r="GN49" s="40">
        <v>165</v>
      </c>
    </row>
    <row r="50" spans="1:196" s="1" customFormat="1" x14ac:dyDescent="0.2">
      <c r="A50" s="41" t="s">
        <v>1039</v>
      </c>
      <c r="B50" s="284" t="s">
        <v>1017</v>
      </c>
      <c r="C50" s="24" t="str">
        <f t="shared" si="10"/>
        <v>Council area - Perth and Kinross</v>
      </c>
      <c r="D50" s="32">
        <f t="shared" si="17"/>
        <v>71132</v>
      </c>
      <c r="E50" s="32">
        <f t="shared" si="17"/>
        <v>75034</v>
      </c>
      <c r="F50" s="33">
        <f t="shared" si="18"/>
        <v>152560</v>
      </c>
      <c r="G50" s="33">
        <f t="shared" si="19"/>
        <v>74414</v>
      </c>
      <c r="H50" s="34">
        <f t="shared" si="20"/>
        <v>78146</v>
      </c>
      <c r="I50" s="390">
        <f t="shared" si="13"/>
        <v>71132</v>
      </c>
      <c r="J50" s="34">
        <f t="shared" si="14"/>
        <v>75034</v>
      </c>
      <c r="K50" s="55">
        <f t="shared" si="11"/>
        <v>9994</v>
      </c>
      <c r="L50" s="32">
        <f t="shared" si="12"/>
        <v>9452</v>
      </c>
      <c r="M50" s="55">
        <f t="shared" si="15"/>
        <v>65633</v>
      </c>
      <c r="N50" s="32">
        <f t="shared" si="16"/>
        <v>69897</v>
      </c>
      <c r="O50" s="924">
        <v>596</v>
      </c>
      <c r="P50" s="924">
        <v>641</v>
      </c>
      <c r="Q50" s="924">
        <v>641</v>
      </c>
      <c r="R50" s="924">
        <v>729</v>
      </c>
      <c r="S50" s="924">
        <v>675</v>
      </c>
      <c r="T50" s="924">
        <v>718</v>
      </c>
      <c r="U50" s="924">
        <v>731</v>
      </c>
      <c r="V50" s="924">
        <v>789</v>
      </c>
      <c r="W50" s="924">
        <v>794</v>
      </c>
      <c r="X50" s="924">
        <v>837</v>
      </c>
      <c r="Y50" s="924">
        <v>768</v>
      </c>
      <c r="Z50" s="924">
        <v>862</v>
      </c>
      <c r="AA50" s="924">
        <v>876</v>
      </c>
      <c r="AB50" s="924">
        <v>882</v>
      </c>
      <c r="AC50" s="924">
        <v>885</v>
      </c>
      <c r="AD50" s="924">
        <v>913</v>
      </c>
      <c r="AE50" s="924">
        <v>939</v>
      </c>
      <c r="AF50" s="924">
        <v>853</v>
      </c>
      <c r="AG50" s="924">
        <v>862</v>
      </c>
      <c r="AH50" s="924">
        <v>778</v>
      </c>
      <c r="AI50" s="924">
        <v>664</v>
      </c>
      <c r="AJ50" s="924">
        <v>626</v>
      </c>
      <c r="AK50" s="924">
        <v>710</v>
      </c>
      <c r="AL50" s="924">
        <v>751</v>
      </c>
      <c r="AM50" s="924">
        <v>731</v>
      </c>
      <c r="AN50" s="924">
        <v>736</v>
      </c>
      <c r="AO50" s="924">
        <v>702</v>
      </c>
      <c r="AP50" s="924">
        <v>698</v>
      </c>
      <c r="AQ50" s="924">
        <v>722</v>
      </c>
      <c r="AR50" s="924">
        <v>791</v>
      </c>
      <c r="AS50" s="924">
        <v>783</v>
      </c>
      <c r="AT50" s="924">
        <v>870</v>
      </c>
      <c r="AU50" s="924">
        <v>954</v>
      </c>
      <c r="AV50" s="924">
        <v>778</v>
      </c>
      <c r="AW50" s="924">
        <v>809</v>
      </c>
      <c r="AX50" s="924">
        <v>802</v>
      </c>
      <c r="AY50" s="924">
        <v>875</v>
      </c>
      <c r="AZ50" s="924">
        <v>846</v>
      </c>
      <c r="BA50" s="924">
        <v>875</v>
      </c>
      <c r="BB50" s="924">
        <v>882</v>
      </c>
      <c r="BC50" s="924">
        <v>925</v>
      </c>
      <c r="BD50" s="924">
        <v>897</v>
      </c>
      <c r="BE50" s="924">
        <v>934</v>
      </c>
      <c r="BF50" s="924">
        <v>829</v>
      </c>
      <c r="BG50" s="924">
        <v>910</v>
      </c>
      <c r="BH50" s="924">
        <v>791</v>
      </c>
      <c r="BI50" s="924">
        <v>817</v>
      </c>
      <c r="BJ50" s="924">
        <v>841</v>
      </c>
      <c r="BK50" s="924">
        <v>863</v>
      </c>
      <c r="BL50" s="924">
        <v>868</v>
      </c>
      <c r="BM50" s="924">
        <v>952</v>
      </c>
      <c r="BN50" s="924">
        <v>1017</v>
      </c>
      <c r="BO50" s="924">
        <v>1067</v>
      </c>
      <c r="BP50" s="924">
        <v>1008</v>
      </c>
      <c r="BQ50" s="924">
        <v>1077</v>
      </c>
      <c r="BR50" s="924">
        <v>1137</v>
      </c>
      <c r="BS50" s="924">
        <v>1166</v>
      </c>
      <c r="BT50" s="924">
        <v>1209</v>
      </c>
      <c r="BU50" s="924">
        <v>1213</v>
      </c>
      <c r="BV50" s="924">
        <v>1223</v>
      </c>
      <c r="BW50" s="924">
        <v>1247</v>
      </c>
      <c r="BX50" s="924">
        <v>1109</v>
      </c>
      <c r="BY50" s="924">
        <v>1126</v>
      </c>
      <c r="BZ50" s="924">
        <v>1045</v>
      </c>
      <c r="CA50" s="924">
        <v>1121</v>
      </c>
      <c r="CB50" s="924">
        <v>1082</v>
      </c>
      <c r="CC50" s="924">
        <v>1003</v>
      </c>
      <c r="CD50" s="924">
        <v>990</v>
      </c>
      <c r="CE50" s="924">
        <v>982</v>
      </c>
      <c r="CF50" s="924">
        <v>964</v>
      </c>
      <c r="CG50" s="924">
        <v>996</v>
      </c>
      <c r="CH50" s="924">
        <v>879</v>
      </c>
      <c r="CI50" s="924">
        <v>862</v>
      </c>
      <c r="CJ50" s="924">
        <v>889</v>
      </c>
      <c r="CK50" s="924">
        <v>905</v>
      </c>
      <c r="CL50" s="924">
        <v>892</v>
      </c>
      <c r="CM50" s="924">
        <v>923</v>
      </c>
      <c r="CN50" s="924">
        <v>734</v>
      </c>
      <c r="CO50" s="924">
        <v>598</v>
      </c>
      <c r="CP50" s="924">
        <v>645</v>
      </c>
      <c r="CQ50" s="924">
        <v>556</v>
      </c>
      <c r="CR50" s="924">
        <v>491</v>
      </c>
      <c r="CS50" s="924">
        <v>427</v>
      </c>
      <c r="CT50" s="924">
        <v>461</v>
      </c>
      <c r="CU50" s="924">
        <v>385</v>
      </c>
      <c r="CV50" s="924">
        <v>334</v>
      </c>
      <c r="CW50" s="924">
        <v>292</v>
      </c>
      <c r="CX50" s="924">
        <v>246</v>
      </c>
      <c r="CY50" s="924">
        <v>237</v>
      </c>
      <c r="CZ50" s="924">
        <v>192</v>
      </c>
      <c r="DA50" s="926">
        <v>683</v>
      </c>
      <c r="DB50" s="39">
        <v>588</v>
      </c>
      <c r="DC50" s="39">
        <v>625</v>
      </c>
      <c r="DD50" s="39">
        <v>650</v>
      </c>
      <c r="DE50" s="39">
        <v>620</v>
      </c>
      <c r="DF50" s="39">
        <v>629</v>
      </c>
      <c r="DG50" s="39">
        <v>675</v>
      </c>
      <c r="DH50" s="39">
        <v>727</v>
      </c>
      <c r="DI50" s="39">
        <v>740</v>
      </c>
      <c r="DJ50" s="39">
        <v>723</v>
      </c>
      <c r="DK50" s="39">
        <v>702</v>
      </c>
      <c r="DL50" s="39">
        <v>752</v>
      </c>
      <c r="DM50" s="39">
        <v>818</v>
      </c>
      <c r="DN50" s="39">
        <v>795</v>
      </c>
      <c r="DO50" s="39">
        <v>832</v>
      </c>
      <c r="DP50" s="39">
        <v>860</v>
      </c>
      <c r="DQ50" s="39">
        <v>924</v>
      </c>
      <c r="DR50" s="39">
        <v>904</v>
      </c>
      <c r="DS50" s="39">
        <v>852</v>
      </c>
      <c r="DT50" s="39">
        <v>803</v>
      </c>
      <c r="DU50" s="39">
        <v>589</v>
      </c>
      <c r="DV50" s="39">
        <v>549</v>
      </c>
      <c r="DW50" s="39">
        <v>548</v>
      </c>
      <c r="DX50" s="39">
        <v>666</v>
      </c>
      <c r="DY50" s="39">
        <v>633</v>
      </c>
      <c r="DZ50" s="39">
        <v>673</v>
      </c>
      <c r="EA50" s="39">
        <v>702</v>
      </c>
      <c r="EB50" s="39">
        <v>756</v>
      </c>
      <c r="EC50" s="39">
        <v>767</v>
      </c>
      <c r="ED50" s="39">
        <v>681</v>
      </c>
      <c r="EE50" s="39">
        <v>774</v>
      </c>
      <c r="EF50" s="39">
        <v>921</v>
      </c>
      <c r="EG50" s="39">
        <v>799</v>
      </c>
      <c r="EH50" s="39">
        <v>864</v>
      </c>
      <c r="EI50" s="39">
        <v>825</v>
      </c>
      <c r="EJ50" s="39">
        <v>876</v>
      </c>
      <c r="EK50" s="39">
        <v>865</v>
      </c>
      <c r="EL50" s="39">
        <v>909</v>
      </c>
      <c r="EM50" s="39">
        <v>935</v>
      </c>
      <c r="EN50" s="39">
        <v>1018</v>
      </c>
      <c r="EO50" s="39">
        <v>937</v>
      </c>
      <c r="EP50" s="39">
        <v>902</v>
      </c>
      <c r="EQ50" s="39">
        <v>929</v>
      </c>
      <c r="ER50" s="39">
        <v>941</v>
      </c>
      <c r="ES50" s="39">
        <v>944</v>
      </c>
      <c r="ET50" s="39">
        <v>869</v>
      </c>
      <c r="EU50" s="39">
        <v>862</v>
      </c>
      <c r="EV50" s="39">
        <v>844</v>
      </c>
      <c r="EW50" s="39">
        <v>906</v>
      </c>
      <c r="EX50" s="39">
        <v>907</v>
      </c>
      <c r="EY50" s="39">
        <v>1046</v>
      </c>
      <c r="EZ50" s="39">
        <v>1039</v>
      </c>
      <c r="FA50" s="39">
        <v>1178</v>
      </c>
      <c r="FB50" s="39">
        <v>1199</v>
      </c>
      <c r="FC50" s="39">
        <v>1140</v>
      </c>
      <c r="FD50" s="39">
        <v>1236</v>
      </c>
      <c r="FE50" s="39">
        <v>1276</v>
      </c>
      <c r="FF50" s="39">
        <v>1289</v>
      </c>
      <c r="FG50" s="39">
        <v>1229</v>
      </c>
      <c r="FH50" s="39">
        <v>1279</v>
      </c>
      <c r="FI50" s="39">
        <v>1217</v>
      </c>
      <c r="FJ50" s="39">
        <v>1262</v>
      </c>
      <c r="FK50" s="39">
        <v>1219</v>
      </c>
      <c r="FL50" s="39">
        <v>1202</v>
      </c>
      <c r="FM50" s="39">
        <v>1075</v>
      </c>
      <c r="FN50" s="39">
        <v>1172</v>
      </c>
      <c r="FO50" s="39">
        <v>1119</v>
      </c>
      <c r="FP50" s="39">
        <v>1106</v>
      </c>
      <c r="FQ50" s="39">
        <v>1035</v>
      </c>
      <c r="FR50" s="39">
        <v>1021</v>
      </c>
      <c r="FS50" s="39">
        <v>999</v>
      </c>
      <c r="FT50" s="39">
        <v>1040</v>
      </c>
      <c r="FU50" s="39">
        <v>965</v>
      </c>
      <c r="FV50" s="39">
        <v>984</v>
      </c>
      <c r="FW50" s="39">
        <v>990</v>
      </c>
      <c r="FX50" s="39">
        <v>955</v>
      </c>
      <c r="FY50" s="39">
        <v>942</v>
      </c>
      <c r="FZ50" s="39">
        <v>1097</v>
      </c>
      <c r="GA50" s="39">
        <v>763</v>
      </c>
      <c r="GB50" s="39">
        <v>708</v>
      </c>
      <c r="GC50" s="39">
        <v>706</v>
      </c>
      <c r="GD50" s="39">
        <v>748</v>
      </c>
      <c r="GE50" s="39">
        <v>637</v>
      </c>
      <c r="GF50" s="39">
        <v>523</v>
      </c>
      <c r="GG50" s="39">
        <v>533</v>
      </c>
      <c r="GH50" s="39">
        <v>551</v>
      </c>
      <c r="GI50" s="39">
        <v>442</v>
      </c>
      <c r="GJ50" s="39">
        <v>428</v>
      </c>
      <c r="GK50" s="39">
        <v>386</v>
      </c>
      <c r="GL50" s="39">
        <v>360</v>
      </c>
      <c r="GM50" s="39">
        <v>278</v>
      </c>
      <c r="GN50" s="40">
        <v>1162</v>
      </c>
    </row>
    <row r="51" spans="1:196" s="1" customFormat="1" x14ac:dyDescent="0.2">
      <c r="A51" s="41" t="s">
        <v>1039</v>
      </c>
      <c r="B51" s="284" t="s">
        <v>1018</v>
      </c>
      <c r="C51" s="24" t="str">
        <f t="shared" si="10"/>
        <v>Council area - Renfrewshire</v>
      </c>
      <c r="D51" s="32">
        <f t="shared" si="17"/>
        <v>85679</v>
      </c>
      <c r="E51" s="32">
        <f t="shared" si="17"/>
        <v>92116</v>
      </c>
      <c r="F51" s="33">
        <f t="shared" si="18"/>
        <v>186540</v>
      </c>
      <c r="G51" s="33">
        <f t="shared" si="19"/>
        <v>90133</v>
      </c>
      <c r="H51" s="34">
        <f t="shared" si="20"/>
        <v>96407</v>
      </c>
      <c r="I51" s="390">
        <f t="shared" si="13"/>
        <v>85679</v>
      </c>
      <c r="J51" s="34">
        <f t="shared" si="14"/>
        <v>92116</v>
      </c>
      <c r="K51" s="55">
        <f t="shared" si="11"/>
        <v>11949</v>
      </c>
      <c r="L51" s="32">
        <f t="shared" si="12"/>
        <v>11469</v>
      </c>
      <c r="M51" s="55">
        <f t="shared" si="15"/>
        <v>78779</v>
      </c>
      <c r="N51" s="32">
        <f t="shared" si="16"/>
        <v>85554</v>
      </c>
      <c r="O51" s="924">
        <v>856</v>
      </c>
      <c r="P51" s="924">
        <v>894</v>
      </c>
      <c r="Q51" s="924">
        <v>848</v>
      </c>
      <c r="R51" s="924">
        <v>922</v>
      </c>
      <c r="S51" s="924">
        <v>934</v>
      </c>
      <c r="T51" s="924">
        <v>918</v>
      </c>
      <c r="U51" s="924">
        <v>937</v>
      </c>
      <c r="V51" s="924">
        <v>987</v>
      </c>
      <c r="W51" s="924">
        <v>926</v>
      </c>
      <c r="X51" s="924">
        <v>992</v>
      </c>
      <c r="Y51" s="924">
        <v>1033</v>
      </c>
      <c r="Z51" s="924">
        <v>1107</v>
      </c>
      <c r="AA51" s="924">
        <v>980</v>
      </c>
      <c r="AB51" s="924">
        <v>1056</v>
      </c>
      <c r="AC51" s="924">
        <v>1018</v>
      </c>
      <c r="AD51" s="924">
        <v>1023</v>
      </c>
      <c r="AE51" s="924">
        <v>972</v>
      </c>
      <c r="AF51" s="924">
        <v>994</v>
      </c>
      <c r="AG51" s="924">
        <v>994</v>
      </c>
      <c r="AH51" s="924">
        <v>954</v>
      </c>
      <c r="AI51" s="924">
        <v>1036</v>
      </c>
      <c r="AJ51" s="924">
        <v>935</v>
      </c>
      <c r="AK51" s="924">
        <v>1039</v>
      </c>
      <c r="AL51" s="924">
        <v>1062</v>
      </c>
      <c r="AM51" s="924">
        <v>1058</v>
      </c>
      <c r="AN51" s="924">
        <v>1094</v>
      </c>
      <c r="AO51" s="924">
        <v>1206</v>
      </c>
      <c r="AP51" s="924">
        <v>1185</v>
      </c>
      <c r="AQ51" s="924">
        <v>1154</v>
      </c>
      <c r="AR51" s="924">
        <v>1290</v>
      </c>
      <c r="AS51" s="924">
        <v>1228</v>
      </c>
      <c r="AT51" s="924">
        <v>1289</v>
      </c>
      <c r="AU51" s="924">
        <v>1399</v>
      </c>
      <c r="AV51" s="924">
        <v>1237</v>
      </c>
      <c r="AW51" s="924">
        <v>1302</v>
      </c>
      <c r="AX51" s="924">
        <v>1294</v>
      </c>
      <c r="AY51" s="924">
        <v>1302</v>
      </c>
      <c r="AZ51" s="924">
        <v>1280</v>
      </c>
      <c r="BA51" s="924">
        <v>1197</v>
      </c>
      <c r="BB51" s="924">
        <v>1259</v>
      </c>
      <c r="BC51" s="924">
        <v>1141</v>
      </c>
      <c r="BD51" s="924">
        <v>1140</v>
      </c>
      <c r="BE51" s="924">
        <v>1259</v>
      </c>
      <c r="BF51" s="924">
        <v>1228</v>
      </c>
      <c r="BG51" s="924">
        <v>1119</v>
      </c>
      <c r="BH51" s="924">
        <v>1017</v>
      </c>
      <c r="BI51" s="924">
        <v>953</v>
      </c>
      <c r="BJ51" s="924">
        <v>1059</v>
      </c>
      <c r="BK51" s="924">
        <v>1039</v>
      </c>
      <c r="BL51" s="924">
        <v>1113</v>
      </c>
      <c r="BM51" s="924">
        <v>1144</v>
      </c>
      <c r="BN51" s="924">
        <v>1161</v>
      </c>
      <c r="BO51" s="924">
        <v>1303</v>
      </c>
      <c r="BP51" s="924">
        <v>1256</v>
      </c>
      <c r="BQ51" s="924">
        <v>1346</v>
      </c>
      <c r="BR51" s="924">
        <v>1366</v>
      </c>
      <c r="BS51" s="924">
        <v>1350</v>
      </c>
      <c r="BT51" s="924">
        <v>1337</v>
      </c>
      <c r="BU51" s="924">
        <v>1467</v>
      </c>
      <c r="BV51" s="924">
        <v>1343</v>
      </c>
      <c r="BW51" s="924">
        <v>1318</v>
      </c>
      <c r="BX51" s="924">
        <v>1283</v>
      </c>
      <c r="BY51" s="924">
        <v>1307</v>
      </c>
      <c r="BZ51" s="924">
        <v>1265</v>
      </c>
      <c r="CA51" s="924">
        <v>1206</v>
      </c>
      <c r="CB51" s="924">
        <v>1190</v>
      </c>
      <c r="CC51" s="924">
        <v>1110</v>
      </c>
      <c r="CD51" s="924">
        <v>1000</v>
      </c>
      <c r="CE51" s="924">
        <v>972</v>
      </c>
      <c r="CF51" s="924">
        <v>953</v>
      </c>
      <c r="CG51" s="924">
        <v>886</v>
      </c>
      <c r="CH51" s="924">
        <v>818</v>
      </c>
      <c r="CI51" s="924">
        <v>896</v>
      </c>
      <c r="CJ51" s="924">
        <v>790</v>
      </c>
      <c r="CK51" s="924">
        <v>801</v>
      </c>
      <c r="CL51" s="924">
        <v>778</v>
      </c>
      <c r="CM51" s="924">
        <v>861</v>
      </c>
      <c r="CN51" s="924">
        <v>632</v>
      </c>
      <c r="CO51" s="924">
        <v>571</v>
      </c>
      <c r="CP51" s="924">
        <v>550</v>
      </c>
      <c r="CQ51" s="924">
        <v>508</v>
      </c>
      <c r="CR51" s="924">
        <v>421</v>
      </c>
      <c r="CS51" s="924">
        <v>377</v>
      </c>
      <c r="CT51" s="924">
        <v>324</v>
      </c>
      <c r="CU51" s="924">
        <v>346</v>
      </c>
      <c r="CV51" s="924">
        <v>312</v>
      </c>
      <c r="CW51" s="924">
        <v>244</v>
      </c>
      <c r="CX51" s="924">
        <v>199</v>
      </c>
      <c r="CY51" s="924">
        <v>189</v>
      </c>
      <c r="CZ51" s="924">
        <v>155</v>
      </c>
      <c r="DA51" s="926">
        <v>539</v>
      </c>
      <c r="DB51" s="39">
        <v>821</v>
      </c>
      <c r="DC51" s="39">
        <v>874</v>
      </c>
      <c r="DD51" s="39">
        <v>830</v>
      </c>
      <c r="DE51" s="39">
        <v>931</v>
      </c>
      <c r="DF51" s="39">
        <v>835</v>
      </c>
      <c r="DG51" s="39">
        <v>900</v>
      </c>
      <c r="DH51" s="39">
        <v>891</v>
      </c>
      <c r="DI51" s="39">
        <v>886</v>
      </c>
      <c r="DJ51" s="39">
        <v>908</v>
      </c>
      <c r="DK51" s="39">
        <v>966</v>
      </c>
      <c r="DL51" s="39">
        <v>1009</v>
      </c>
      <c r="DM51" s="39">
        <v>1002</v>
      </c>
      <c r="DN51" s="39">
        <v>1018</v>
      </c>
      <c r="DO51" s="39">
        <v>985</v>
      </c>
      <c r="DP51" s="39">
        <v>919</v>
      </c>
      <c r="DQ51" s="39">
        <v>1046</v>
      </c>
      <c r="DR51" s="39">
        <v>939</v>
      </c>
      <c r="DS51" s="39">
        <v>997</v>
      </c>
      <c r="DT51" s="39">
        <v>941</v>
      </c>
      <c r="DU51" s="39">
        <v>916</v>
      </c>
      <c r="DV51" s="39">
        <v>958</v>
      </c>
      <c r="DW51" s="39">
        <v>929</v>
      </c>
      <c r="DX51" s="39">
        <v>1024</v>
      </c>
      <c r="DY51" s="39">
        <v>1123</v>
      </c>
      <c r="DZ51" s="39">
        <v>1028</v>
      </c>
      <c r="EA51" s="39">
        <v>1153</v>
      </c>
      <c r="EB51" s="39">
        <v>1220</v>
      </c>
      <c r="EC51" s="39">
        <v>1213</v>
      </c>
      <c r="ED51" s="39">
        <v>1217</v>
      </c>
      <c r="EE51" s="39">
        <v>1278</v>
      </c>
      <c r="EF51" s="39">
        <v>1362</v>
      </c>
      <c r="EG51" s="39">
        <v>1385</v>
      </c>
      <c r="EH51" s="39">
        <v>1350</v>
      </c>
      <c r="EI51" s="39">
        <v>1352</v>
      </c>
      <c r="EJ51" s="39">
        <v>1321</v>
      </c>
      <c r="EK51" s="39">
        <v>1393</v>
      </c>
      <c r="EL51" s="39">
        <v>1335</v>
      </c>
      <c r="EM51" s="39">
        <v>1255</v>
      </c>
      <c r="EN51" s="39">
        <v>1294</v>
      </c>
      <c r="EO51" s="39">
        <v>1256</v>
      </c>
      <c r="EP51" s="39">
        <v>1313</v>
      </c>
      <c r="EQ51" s="39">
        <v>1224</v>
      </c>
      <c r="ER51" s="39">
        <v>1235</v>
      </c>
      <c r="ES51" s="39">
        <v>1225</v>
      </c>
      <c r="ET51" s="39">
        <v>1164</v>
      </c>
      <c r="EU51" s="39">
        <v>1084</v>
      </c>
      <c r="EV51" s="39">
        <v>1045</v>
      </c>
      <c r="EW51" s="39">
        <v>1003</v>
      </c>
      <c r="EX51" s="39">
        <v>1145</v>
      </c>
      <c r="EY51" s="39">
        <v>1165</v>
      </c>
      <c r="EZ51" s="39">
        <v>1205</v>
      </c>
      <c r="FA51" s="39">
        <v>1319</v>
      </c>
      <c r="FB51" s="39">
        <v>1378</v>
      </c>
      <c r="FC51" s="39">
        <v>1466</v>
      </c>
      <c r="FD51" s="39">
        <v>1406</v>
      </c>
      <c r="FE51" s="39">
        <v>1524</v>
      </c>
      <c r="FF51" s="39">
        <v>1508</v>
      </c>
      <c r="FG51" s="39">
        <v>1498</v>
      </c>
      <c r="FH51" s="39">
        <v>1507</v>
      </c>
      <c r="FI51" s="39">
        <v>1477</v>
      </c>
      <c r="FJ51" s="39">
        <v>1408</v>
      </c>
      <c r="FK51" s="39">
        <v>1430</v>
      </c>
      <c r="FL51" s="39">
        <v>1487</v>
      </c>
      <c r="FM51" s="39">
        <v>1294</v>
      </c>
      <c r="FN51" s="39">
        <v>1290</v>
      </c>
      <c r="FO51" s="39">
        <v>1323</v>
      </c>
      <c r="FP51" s="39">
        <v>1123</v>
      </c>
      <c r="FQ51" s="39">
        <v>1109</v>
      </c>
      <c r="FR51" s="39">
        <v>1098</v>
      </c>
      <c r="FS51" s="39">
        <v>1089</v>
      </c>
      <c r="FT51" s="39">
        <v>1006</v>
      </c>
      <c r="FU51" s="39">
        <v>950</v>
      </c>
      <c r="FV51" s="39">
        <v>1036</v>
      </c>
      <c r="FW51" s="39">
        <v>952</v>
      </c>
      <c r="FX51" s="39">
        <v>1006</v>
      </c>
      <c r="FY51" s="39">
        <v>969</v>
      </c>
      <c r="FZ51" s="39">
        <v>1026</v>
      </c>
      <c r="GA51" s="39">
        <v>768</v>
      </c>
      <c r="GB51" s="39">
        <v>765</v>
      </c>
      <c r="GC51" s="39">
        <v>750</v>
      </c>
      <c r="GD51" s="39">
        <v>639</v>
      </c>
      <c r="GE51" s="39">
        <v>590</v>
      </c>
      <c r="GF51" s="39">
        <v>528</v>
      </c>
      <c r="GG51" s="39">
        <v>511</v>
      </c>
      <c r="GH51" s="39">
        <v>478</v>
      </c>
      <c r="GI51" s="39">
        <v>461</v>
      </c>
      <c r="GJ51" s="39">
        <v>413</v>
      </c>
      <c r="GK51" s="39">
        <v>383</v>
      </c>
      <c r="GL51" s="39">
        <v>319</v>
      </c>
      <c r="GM51" s="39">
        <v>284</v>
      </c>
      <c r="GN51" s="40">
        <v>971</v>
      </c>
    </row>
    <row r="52" spans="1:196" s="1" customFormat="1" x14ac:dyDescent="0.2">
      <c r="A52" s="41" t="s">
        <v>1039</v>
      </c>
      <c r="B52" s="284" t="s">
        <v>1019</v>
      </c>
      <c r="C52" s="24" t="str">
        <f t="shared" si="10"/>
        <v>Council area - Scottish Borders</v>
      </c>
      <c r="D52" s="32">
        <f t="shared" si="17"/>
        <v>54159</v>
      </c>
      <c r="E52" s="32">
        <f t="shared" si="17"/>
        <v>57885</v>
      </c>
      <c r="F52" s="33">
        <f t="shared" si="18"/>
        <v>116630</v>
      </c>
      <c r="G52" s="33">
        <f t="shared" si="19"/>
        <v>56607</v>
      </c>
      <c r="H52" s="34">
        <f t="shared" si="20"/>
        <v>60023</v>
      </c>
      <c r="I52" s="390">
        <f t="shared" si="13"/>
        <v>54159</v>
      </c>
      <c r="J52" s="34">
        <f t="shared" si="14"/>
        <v>57885</v>
      </c>
      <c r="K52" s="55">
        <f t="shared" si="11"/>
        <v>7363</v>
      </c>
      <c r="L52" s="32">
        <f t="shared" si="12"/>
        <v>7224</v>
      </c>
      <c r="M52" s="55">
        <f t="shared" si="15"/>
        <v>50060</v>
      </c>
      <c r="N52" s="32">
        <f t="shared" si="16"/>
        <v>53883</v>
      </c>
      <c r="O52" s="924">
        <v>438</v>
      </c>
      <c r="P52" s="924">
        <v>434</v>
      </c>
      <c r="Q52" s="924">
        <v>474</v>
      </c>
      <c r="R52" s="924">
        <v>551</v>
      </c>
      <c r="S52" s="924">
        <v>551</v>
      </c>
      <c r="T52" s="924">
        <v>563</v>
      </c>
      <c r="U52" s="924">
        <v>547</v>
      </c>
      <c r="V52" s="924">
        <v>576</v>
      </c>
      <c r="W52" s="924">
        <v>542</v>
      </c>
      <c r="X52" s="924">
        <v>636</v>
      </c>
      <c r="Y52" s="924">
        <v>617</v>
      </c>
      <c r="Z52" s="924">
        <v>618</v>
      </c>
      <c r="AA52" s="924">
        <v>704</v>
      </c>
      <c r="AB52" s="924">
        <v>623</v>
      </c>
      <c r="AC52" s="924">
        <v>668</v>
      </c>
      <c r="AD52" s="924">
        <v>638</v>
      </c>
      <c r="AE52" s="924">
        <v>631</v>
      </c>
      <c r="AF52" s="924">
        <v>686</v>
      </c>
      <c r="AG52" s="924">
        <v>647</v>
      </c>
      <c r="AH52" s="924">
        <v>559</v>
      </c>
      <c r="AI52" s="924">
        <v>498</v>
      </c>
      <c r="AJ52" s="924">
        <v>532</v>
      </c>
      <c r="AK52" s="924">
        <v>482</v>
      </c>
      <c r="AL52" s="924">
        <v>470</v>
      </c>
      <c r="AM52" s="924">
        <v>480</v>
      </c>
      <c r="AN52" s="924">
        <v>483</v>
      </c>
      <c r="AO52" s="924">
        <v>489</v>
      </c>
      <c r="AP52" s="924">
        <v>525</v>
      </c>
      <c r="AQ52" s="924">
        <v>535</v>
      </c>
      <c r="AR52" s="924">
        <v>471</v>
      </c>
      <c r="AS52" s="924">
        <v>563</v>
      </c>
      <c r="AT52" s="924">
        <v>479</v>
      </c>
      <c r="AU52" s="924">
        <v>571</v>
      </c>
      <c r="AV52" s="924">
        <v>538</v>
      </c>
      <c r="AW52" s="924">
        <v>545</v>
      </c>
      <c r="AX52" s="924">
        <v>578</v>
      </c>
      <c r="AY52" s="924">
        <v>497</v>
      </c>
      <c r="AZ52" s="924">
        <v>581</v>
      </c>
      <c r="BA52" s="924">
        <v>534</v>
      </c>
      <c r="BB52" s="924">
        <v>588</v>
      </c>
      <c r="BC52" s="924">
        <v>626</v>
      </c>
      <c r="BD52" s="924">
        <v>588</v>
      </c>
      <c r="BE52" s="924">
        <v>609</v>
      </c>
      <c r="BF52" s="924">
        <v>637</v>
      </c>
      <c r="BG52" s="924">
        <v>655</v>
      </c>
      <c r="BH52" s="924">
        <v>534</v>
      </c>
      <c r="BI52" s="924">
        <v>567</v>
      </c>
      <c r="BJ52" s="924">
        <v>584</v>
      </c>
      <c r="BK52" s="924">
        <v>642</v>
      </c>
      <c r="BL52" s="924">
        <v>661</v>
      </c>
      <c r="BM52" s="924">
        <v>719</v>
      </c>
      <c r="BN52" s="924">
        <v>802</v>
      </c>
      <c r="BO52" s="924">
        <v>828</v>
      </c>
      <c r="BP52" s="924">
        <v>854</v>
      </c>
      <c r="BQ52" s="924">
        <v>891</v>
      </c>
      <c r="BR52" s="924">
        <v>958</v>
      </c>
      <c r="BS52" s="924">
        <v>940</v>
      </c>
      <c r="BT52" s="924">
        <v>946</v>
      </c>
      <c r="BU52" s="924">
        <v>988</v>
      </c>
      <c r="BV52" s="924">
        <v>945</v>
      </c>
      <c r="BW52" s="924">
        <v>1015</v>
      </c>
      <c r="BX52" s="924">
        <v>963</v>
      </c>
      <c r="BY52" s="924">
        <v>908</v>
      </c>
      <c r="BZ52" s="924">
        <v>908</v>
      </c>
      <c r="CA52" s="924">
        <v>909</v>
      </c>
      <c r="CB52" s="924">
        <v>889</v>
      </c>
      <c r="CC52" s="924">
        <v>879</v>
      </c>
      <c r="CD52" s="924">
        <v>808</v>
      </c>
      <c r="CE52" s="924">
        <v>879</v>
      </c>
      <c r="CF52" s="924">
        <v>805</v>
      </c>
      <c r="CG52" s="924">
        <v>787</v>
      </c>
      <c r="CH52" s="924">
        <v>758</v>
      </c>
      <c r="CI52" s="924">
        <v>764</v>
      </c>
      <c r="CJ52" s="924">
        <v>736</v>
      </c>
      <c r="CK52" s="924">
        <v>747</v>
      </c>
      <c r="CL52" s="924">
        <v>790</v>
      </c>
      <c r="CM52" s="924">
        <v>806</v>
      </c>
      <c r="CN52" s="924">
        <v>610</v>
      </c>
      <c r="CO52" s="924">
        <v>554</v>
      </c>
      <c r="CP52" s="924">
        <v>532</v>
      </c>
      <c r="CQ52" s="924">
        <v>504</v>
      </c>
      <c r="CR52" s="924">
        <v>412</v>
      </c>
      <c r="CS52" s="924">
        <v>338</v>
      </c>
      <c r="CT52" s="924">
        <v>343</v>
      </c>
      <c r="CU52" s="924">
        <v>326</v>
      </c>
      <c r="CV52" s="924">
        <v>282</v>
      </c>
      <c r="CW52" s="924">
        <v>217</v>
      </c>
      <c r="CX52" s="924">
        <v>197</v>
      </c>
      <c r="CY52" s="924">
        <v>174</v>
      </c>
      <c r="CZ52" s="924">
        <v>155</v>
      </c>
      <c r="DA52" s="926">
        <v>496</v>
      </c>
      <c r="DB52" s="39">
        <v>381</v>
      </c>
      <c r="DC52" s="39">
        <v>398</v>
      </c>
      <c r="DD52" s="39">
        <v>443</v>
      </c>
      <c r="DE52" s="39">
        <v>439</v>
      </c>
      <c r="DF52" s="39">
        <v>477</v>
      </c>
      <c r="DG52" s="39">
        <v>456</v>
      </c>
      <c r="DH52" s="39">
        <v>551</v>
      </c>
      <c r="DI52" s="39">
        <v>601</v>
      </c>
      <c r="DJ52" s="39">
        <v>570</v>
      </c>
      <c r="DK52" s="39">
        <v>616</v>
      </c>
      <c r="DL52" s="39">
        <v>613</v>
      </c>
      <c r="DM52" s="39">
        <v>595</v>
      </c>
      <c r="DN52" s="39">
        <v>611</v>
      </c>
      <c r="DO52" s="39">
        <v>631</v>
      </c>
      <c r="DP52" s="39">
        <v>658</v>
      </c>
      <c r="DQ52" s="39">
        <v>680</v>
      </c>
      <c r="DR52" s="39">
        <v>642</v>
      </c>
      <c r="DS52" s="39">
        <v>586</v>
      </c>
      <c r="DT52" s="39">
        <v>580</v>
      </c>
      <c r="DU52" s="39">
        <v>477</v>
      </c>
      <c r="DV52" s="39">
        <v>409</v>
      </c>
      <c r="DW52" s="39">
        <v>476</v>
      </c>
      <c r="DX52" s="39">
        <v>446</v>
      </c>
      <c r="DY52" s="39">
        <v>527</v>
      </c>
      <c r="DZ52" s="39">
        <v>460</v>
      </c>
      <c r="EA52" s="39">
        <v>449</v>
      </c>
      <c r="EB52" s="39">
        <v>507</v>
      </c>
      <c r="EC52" s="39">
        <v>535</v>
      </c>
      <c r="ED52" s="39">
        <v>510</v>
      </c>
      <c r="EE52" s="39">
        <v>486</v>
      </c>
      <c r="EF52" s="39">
        <v>606</v>
      </c>
      <c r="EG52" s="39">
        <v>546</v>
      </c>
      <c r="EH52" s="39">
        <v>664</v>
      </c>
      <c r="EI52" s="39">
        <v>607</v>
      </c>
      <c r="EJ52" s="39">
        <v>615</v>
      </c>
      <c r="EK52" s="39">
        <v>574</v>
      </c>
      <c r="EL52" s="39">
        <v>613</v>
      </c>
      <c r="EM52" s="39">
        <v>642</v>
      </c>
      <c r="EN52" s="39">
        <v>637</v>
      </c>
      <c r="EO52" s="39">
        <v>650</v>
      </c>
      <c r="EP52" s="39">
        <v>709</v>
      </c>
      <c r="EQ52" s="39">
        <v>684</v>
      </c>
      <c r="ER52" s="39">
        <v>670</v>
      </c>
      <c r="ES52" s="39">
        <v>645</v>
      </c>
      <c r="ET52" s="39">
        <v>627</v>
      </c>
      <c r="EU52" s="39">
        <v>576</v>
      </c>
      <c r="EV52" s="39">
        <v>608</v>
      </c>
      <c r="EW52" s="39">
        <v>692</v>
      </c>
      <c r="EX52" s="39">
        <v>775</v>
      </c>
      <c r="EY52" s="39">
        <v>807</v>
      </c>
      <c r="EZ52" s="39">
        <v>802</v>
      </c>
      <c r="FA52" s="39">
        <v>903</v>
      </c>
      <c r="FB52" s="39">
        <v>933</v>
      </c>
      <c r="FC52" s="39">
        <v>908</v>
      </c>
      <c r="FD52" s="39">
        <v>1007</v>
      </c>
      <c r="FE52" s="39">
        <v>1005</v>
      </c>
      <c r="FF52" s="39">
        <v>1037</v>
      </c>
      <c r="FG52" s="39">
        <v>1065</v>
      </c>
      <c r="FH52" s="39">
        <v>1035</v>
      </c>
      <c r="FI52" s="39">
        <v>1023</v>
      </c>
      <c r="FJ52" s="39">
        <v>1025</v>
      </c>
      <c r="FK52" s="39">
        <v>972</v>
      </c>
      <c r="FL52" s="39">
        <v>920</v>
      </c>
      <c r="FM52" s="39">
        <v>985</v>
      </c>
      <c r="FN52" s="39">
        <v>975</v>
      </c>
      <c r="FO52" s="39">
        <v>963</v>
      </c>
      <c r="FP52" s="39">
        <v>949</v>
      </c>
      <c r="FQ52" s="39">
        <v>858</v>
      </c>
      <c r="FR52" s="39">
        <v>856</v>
      </c>
      <c r="FS52" s="39">
        <v>827</v>
      </c>
      <c r="FT52" s="39">
        <v>809</v>
      </c>
      <c r="FU52" s="39">
        <v>780</v>
      </c>
      <c r="FV52" s="39">
        <v>783</v>
      </c>
      <c r="FW52" s="39">
        <v>808</v>
      </c>
      <c r="FX52" s="39">
        <v>815</v>
      </c>
      <c r="FY52" s="39">
        <v>800</v>
      </c>
      <c r="FZ52" s="39">
        <v>910</v>
      </c>
      <c r="GA52" s="39">
        <v>650</v>
      </c>
      <c r="GB52" s="39">
        <v>601</v>
      </c>
      <c r="GC52" s="39">
        <v>594</v>
      </c>
      <c r="GD52" s="39">
        <v>561</v>
      </c>
      <c r="GE52" s="39">
        <v>492</v>
      </c>
      <c r="GF52" s="39">
        <v>437</v>
      </c>
      <c r="GG52" s="39">
        <v>485</v>
      </c>
      <c r="GH52" s="39">
        <v>414</v>
      </c>
      <c r="GI52" s="39">
        <v>343</v>
      </c>
      <c r="GJ52" s="39">
        <v>320</v>
      </c>
      <c r="GK52" s="39">
        <v>268</v>
      </c>
      <c r="GL52" s="39">
        <v>246</v>
      </c>
      <c r="GM52" s="39">
        <v>232</v>
      </c>
      <c r="GN52" s="40">
        <v>870</v>
      </c>
    </row>
    <row r="53" spans="1:196" s="1" customFormat="1" x14ac:dyDescent="0.2">
      <c r="A53" s="41" t="s">
        <v>1039</v>
      </c>
      <c r="B53" s="284" t="s">
        <v>1020</v>
      </c>
      <c r="C53" s="24" t="str">
        <f t="shared" si="10"/>
        <v>Council area - Shetland Islands</v>
      </c>
      <c r="D53" s="32">
        <f t="shared" si="17"/>
        <v>11006</v>
      </c>
      <c r="E53" s="32">
        <f t="shared" si="17"/>
        <v>10973</v>
      </c>
      <c r="F53" s="33">
        <f t="shared" si="18"/>
        <v>23000</v>
      </c>
      <c r="G53" s="33">
        <f t="shared" si="19"/>
        <v>11532</v>
      </c>
      <c r="H53" s="34">
        <f t="shared" si="20"/>
        <v>11468</v>
      </c>
      <c r="I53" s="390">
        <f t="shared" si="13"/>
        <v>11006</v>
      </c>
      <c r="J53" s="34">
        <f t="shared" si="14"/>
        <v>10973</v>
      </c>
      <c r="K53" s="55">
        <f t="shared" si="11"/>
        <v>1730</v>
      </c>
      <c r="L53" s="32">
        <f t="shared" si="12"/>
        <v>1611</v>
      </c>
      <c r="M53" s="55">
        <f t="shared" si="15"/>
        <v>10047</v>
      </c>
      <c r="N53" s="32">
        <f t="shared" si="16"/>
        <v>10069</v>
      </c>
      <c r="O53" s="924">
        <v>99</v>
      </c>
      <c r="P53" s="924">
        <v>115</v>
      </c>
      <c r="Q53" s="924">
        <v>89</v>
      </c>
      <c r="R53" s="924">
        <v>104</v>
      </c>
      <c r="S53" s="924">
        <v>119</v>
      </c>
      <c r="T53" s="924">
        <v>115</v>
      </c>
      <c r="U53" s="924">
        <v>140</v>
      </c>
      <c r="V53" s="924">
        <v>139</v>
      </c>
      <c r="W53" s="924">
        <v>118</v>
      </c>
      <c r="X53" s="924">
        <v>139</v>
      </c>
      <c r="Y53" s="924">
        <v>151</v>
      </c>
      <c r="Z53" s="924">
        <v>157</v>
      </c>
      <c r="AA53" s="924">
        <v>155</v>
      </c>
      <c r="AB53" s="924">
        <v>162</v>
      </c>
      <c r="AC53" s="924">
        <v>143</v>
      </c>
      <c r="AD53" s="924">
        <v>152</v>
      </c>
      <c r="AE53" s="924">
        <v>159</v>
      </c>
      <c r="AF53" s="924">
        <v>143</v>
      </c>
      <c r="AG53" s="924">
        <v>133</v>
      </c>
      <c r="AH53" s="924">
        <v>124</v>
      </c>
      <c r="AI53" s="924">
        <v>116</v>
      </c>
      <c r="AJ53" s="924">
        <v>103</v>
      </c>
      <c r="AK53" s="924">
        <v>89</v>
      </c>
      <c r="AL53" s="924">
        <v>118</v>
      </c>
      <c r="AM53" s="924">
        <v>94</v>
      </c>
      <c r="AN53" s="924">
        <v>122</v>
      </c>
      <c r="AO53" s="924">
        <v>131</v>
      </c>
      <c r="AP53" s="924">
        <v>122</v>
      </c>
      <c r="AQ53" s="924">
        <v>111</v>
      </c>
      <c r="AR53" s="924">
        <v>153</v>
      </c>
      <c r="AS53" s="924">
        <v>140</v>
      </c>
      <c r="AT53" s="924">
        <v>138</v>
      </c>
      <c r="AU53" s="924">
        <v>135</v>
      </c>
      <c r="AV53" s="924">
        <v>150</v>
      </c>
      <c r="AW53" s="924">
        <v>156</v>
      </c>
      <c r="AX53" s="924">
        <v>146</v>
      </c>
      <c r="AY53" s="924">
        <v>167</v>
      </c>
      <c r="AZ53" s="924">
        <v>143</v>
      </c>
      <c r="BA53" s="924">
        <v>125</v>
      </c>
      <c r="BB53" s="924">
        <v>120</v>
      </c>
      <c r="BC53" s="924">
        <v>117</v>
      </c>
      <c r="BD53" s="924">
        <v>138</v>
      </c>
      <c r="BE53" s="924">
        <v>152</v>
      </c>
      <c r="BF53" s="924">
        <v>132</v>
      </c>
      <c r="BG53" s="924">
        <v>148</v>
      </c>
      <c r="BH53" s="924">
        <v>119</v>
      </c>
      <c r="BI53" s="924">
        <v>147</v>
      </c>
      <c r="BJ53" s="924">
        <v>130</v>
      </c>
      <c r="BK53" s="924">
        <v>151</v>
      </c>
      <c r="BL53" s="924">
        <v>119</v>
      </c>
      <c r="BM53" s="924">
        <v>183</v>
      </c>
      <c r="BN53" s="924">
        <v>166</v>
      </c>
      <c r="BO53" s="924">
        <v>154</v>
      </c>
      <c r="BP53" s="924">
        <v>158</v>
      </c>
      <c r="BQ53" s="924">
        <v>172</v>
      </c>
      <c r="BR53" s="924">
        <v>152</v>
      </c>
      <c r="BS53" s="924">
        <v>184</v>
      </c>
      <c r="BT53" s="924">
        <v>195</v>
      </c>
      <c r="BU53" s="924">
        <v>166</v>
      </c>
      <c r="BV53" s="924">
        <v>171</v>
      </c>
      <c r="BW53" s="924">
        <v>178</v>
      </c>
      <c r="BX53" s="924">
        <v>166</v>
      </c>
      <c r="BY53" s="924">
        <v>159</v>
      </c>
      <c r="BZ53" s="924">
        <v>158</v>
      </c>
      <c r="CA53" s="924">
        <v>151</v>
      </c>
      <c r="CB53" s="924">
        <v>154</v>
      </c>
      <c r="CC53" s="924">
        <v>126</v>
      </c>
      <c r="CD53" s="924">
        <v>153</v>
      </c>
      <c r="CE53" s="924">
        <v>137</v>
      </c>
      <c r="CF53" s="924">
        <v>133</v>
      </c>
      <c r="CG53" s="924">
        <v>117</v>
      </c>
      <c r="CH53" s="924">
        <v>128</v>
      </c>
      <c r="CI53" s="924">
        <v>121</v>
      </c>
      <c r="CJ53" s="924">
        <v>118</v>
      </c>
      <c r="CK53" s="924">
        <v>129</v>
      </c>
      <c r="CL53" s="924">
        <v>139</v>
      </c>
      <c r="CM53" s="924">
        <v>138</v>
      </c>
      <c r="CN53" s="924">
        <v>101</v>
      </c>
      <c r="CO53" s="924">
        <v>77</v>
      </c>
      <c r="CP53" s="924">
        <v>91</v>
      </c>
      <c r="CQ53" s="924">
        <v>91</v>
      </c>
      <c r="CR53" s="924">
        <v>91</v>
      </c>
      <c r="CS53" s="924">
        <v>50</v>
      </c>
      <c r="CT53" s="924">
        <v>62</v>
      </c>
      <c r="CU53" s="924">
        <v>53</v>
      </c>
      <c r="CV53" s="924">
        <v>40</v>
      </c>
      <c r="CW53" s="924">
        <v>39</v>
      </c>
      <c r="CX53" s="924">
        <v>39</v>
      </c>
      <c r="CY53" s="924">
        <v>29</v>
      </c>
      <c r="CZ53" s="924">
        <v>15</v>
      </c>
      <c r="DA53" s="926">
        <v>60</v>
      </c>
      <c r="DB53" s="39">
        <v>78</v>
      </c>
      <c r="DC53" s="39">
        <v>98</v>
      </c>
      <c r="DD53" s="39">
        <v>92</v>
      </c>
      <c r="DE53" s="39">
        <v>103</v>
      </c>
      <c r="DF53" s="39">
        <v>124</v>
      </c>
      <c r="DG53" s="39">
        <v>112</v>
      </c>
      <c r="DH53" s="39">
        <v>119</v>
      </c>
      <c r="DI53" s="39">
        <v>125</v>
      </c>
      <c r="DJ53" s="39">
        <v>135</v>
      </c>
      <c r="DK53" s="39">
        <v>133</v>
      </c>
      <c r="DL53" s="39">
        <v>146</v>
      </c>
      <c r="DM53" s="39">
        <v>134</v>
      </c>
      <c r="DN53" s="39">
        <v>146</v>
      </c>
      <c r="DO53" s="39">
        <v>139</v>
      </c>
      <c r="DP53" s="39">
        <v>158</v>
      </c>
      <c r="DQ53" s="39">
        <v>125</v>
      </c>
      <c r="DR53" s="39">
        <v>139</v>
      </c>
      <c r="DS53" s="39">
        <v>165</v>
      </c>
      <c r="DT53" s="39">
        <v>103</v>
      </c>
      <c r="DU53" s="39">
        <v>95</v>
      </c>
      <c r="DV53" s="39">
        <v>61</v>
      </c>
      <c r="DW53" s="39">
        <v>63</v>
      </c>
      <c r="DX53" s="39">
        <v>90</v>
      </c>
      <c r="DY53" s="39">
        <v>112</v>
      </c>
      <c r="DZ53" s="39">
        <v>91</v>
      </c>
      <c r="EA53" s="39">
        <v>124</v>
      </c>
      <c r="EB53" s="39">
        <v>113</v>
      </c>
      <c r="EC53" s="39">
        <v>121</v>
      </c>
      <c r="ED53" s="39">
        <v>107</v>
      </c>
      <c r="EE53" s="39">
        <v>121</v>
      </c>
      <c r="EF53" s="39">
        <v>138</v>
      </c>
      <c r="EG53" s="39">
        <v>132</v>
      </c>
      <c r="EH53" s="39">
        <v>151</v>
      </c>
      <c r="EI53" s="39">
        <v>140</v>
      </c>
      <c r="EJ53" s="39">
        <v>139</v>
      </c>
      <c r="EK53" s="39">
        <v>130</v>
      </c>
      <c r="EL53" s="39">
        <v>159</v>
      </c>
      <c r="EM53" s="39">
        <v>125</v>
      </c>
      <c r="EN53" s="39">
        <v>140</v>
      </c>
      <c r="EO53" s="39">
        <v>143</v>
      </c>
      <c r="EP53" s="39">
        <v>150</v>
      </c>
      <c r="EQ53" s="39">
        <v>124</v>
      </c>
      <c r="ER53" s="39">
        <v>147</v>
      </c>
      <c r="ES53" s="39">
        <v>153</v>
      </c>
      <c r="ET53" s="39">
        <v>139</v>
      </c>
      <c r="EU53" s="39">
        <v>129</v>
      </c>
      <c r="EV53" s="39">
        <v>177</v>
      </c>
      <c r="EW53" s="39">
        <v>134</v>
      </c>
      <c r="EX53" s="39">
        <v>138</v>
      </c>
      <c r="EY53" s="39">
        <v>167</v>
      </c>
      <c r="EZ53" s="39">
        <v>157</v>
      </c>
      <c r="FA53" s="39">
        <v>170</v>
      </c>
      <c r="FB53" s="39">
        <v>165</v>
      </c>
      <c r="FC53" s="39">
        <v>170</v>
      </c>
      <c r="FD53" s="39">
        <v>163</v>
      </c>
      <c r="FE53" s="39">
        <v>189</v>
      </c>
      <c r="FF53" s="39">
        <v>168</v>
      </c>
      <c r="FG53" s="39">
        <v>156</v>
      </c>
      <c r="FH53" s="39">
        <v>167</v>
      </c>
      <c r="FI53" s="39">
        <v>196</v>
      </c>
      <c r="FJ53" s="39">
        <v>164</v>
      </c>
      <c r="FK53" s="39">
        <v>171</v>
      </c>
      <c r="FL53" s="39">
        <v>164</v>
      </c>
      <c r="FM53" s="39">
        <v>147</v>
      </c>
      <c r="FN53" s="39">
        <v>139</v>
      </c>
      <c r="FO53" s="39">
        <v>155</v>
      </c>
      <c r="FP53" s="39">
        <v>140</v>
      </c>
      <c r="FQ53" s="39">
        <v>147</v>
      </c>
      <c r="FR53" s="39">
        <v>150</v>
      </c>
      <c r="FS53" s="39">
        <v>124</v>
      </c>
      <c r="FT53" s="39">
        <v>135</v>
      </c>
      <c r="FU53" s="39">
        <v>122</v>
      </c>
      <c r="FV53" s="39">
        <v>128</v>
      </c>
      <c r="FW53" s="39">
        <v>125</v>
      </c>
      <c r="FX53" s="39">
        <v>129</v>
      </c>
      <c r="FY53" s="39">
        <v>116</v>
      </c>
      <c r="FZ53" s="39">
        <v>120</v>
      </c>
      <c r="GA53" s="39">
        <v>85</v>
      </c>
      <c r="GB53" s="39">
        <v>122</v>
      </c>
      <c r="GC53" s="39">
        <v>85</v>
      </c>
      <c r="GD53" s="39">
        <v>111</v>
      </c>
      <c r="GE53" s="39">
        <v>95</v>
      </c>
      <c r="GF53" s="39">
        <v>71</v>
      </c>
      <c r="GG53" s="39">
        <v>63</v>
      </c>
      <c r="GH53" s="39">
        <v>77</v>
      </c>
      <c r="GI53" s="39">
        <v>63</v>
      </c>
      <c r="GJ53" s="39">
        <v>58</v>
      </c>
      <c r="GK53" s="39">
        <v>37</v>
      </c>
      <c r="GL53" s="39">
        <v>42</v>
      </c>
      <c r="GM53" s="39">
        <v>36</v>
      </c>
      <c r="GN53" s="40">
        <v>119</v>
      </c>
    </row>
    <row r="54" spans="1:196" s="1" customFormat="1" x14ac:dyDescent="0.2">
      <c r="A54" s="41" t="s">
        <v>1039</v>
      </c>
      <c r="B54" s="284" t="s">
        <v>1021</v>
      </c>
      <c r="C54" s="24" t="str">
        <f t="shared" si="10"/>
        <v>Council area - South Ayrshire</v>
      </c>
      <c r="D54" s="32">
        <f t="shared" si="17"/>
        <v>51446</v>
      </c>
      <c r="E54" s="32">
        <f t="shared" si="17"/>
        <v>56157</v>
      </c>
      <c r="F54" s="33">
        <f t="shared" si="18"/>
        <v>111830</v>
      </c>
      <c r="G54" s="33">
        <f t="shared" si="19"/>
        <v>53591</v>
      </c>
      <c r="H54" s="34">
        <f t="shared" si="20"/>
        <v>58239</v>
      </c>
      <c r="I54" s="390">
        <f t="shared" si="13"/>
        <v>51446</v>
      </c>
      <c r="J54" s="34">
        <f t="shared" si="14"/>
        <v>56157</v>
      </c>
      <c r="K54" s="55">
        <f t="shared" si="11"/>
        <v>7083</v>
      </c>
      <c r="L54" s="32">
        <f t="shared" si="12"/>
        <v>6663</v>
      </c>
      <c r="M54" s="55">
        <f t="shared" si="15"/>
        <v>47517</v>
      </c>
      <c r="N54" s="32">
        <f t="shared" si="16"/>
        <v>52457</v>
      </c>
      <c r="O54" s="924">
        <v>391</v>
      </c>
      <c r="P54" s="924">
        <v>398</v>
      </c>
      <c r="Q54" s="924">
        <v>406</v>
      </c>
      <c r="R54" s="924">
        <v>432</v>
      </c>
      <c r="S54" s="924">
        <v>518</v>
      </c>
      <c r="T54" s="924">
        <v>515</v>
      </c>
      <c r="U54" s="924">
        <v>521</v>
      </c>
      <c r="V54" s="924">
        <v>538</v>
      </c>
      <c r="W54" s="924">
        <v>605</v>
      </c>
      <c r="X54" s="924">
        <v>574</v>
      </c>
      <c r="Y54" s="924">
        <v>613</v>
      </c>
      <c r="Z54" s="924">
        <v>563</v>
      </c>
      <c r="AA54" s="924">
        <v>658</v>
      </c>
      <c r="AB54" s="924">
        <v>628</v>
      </c>
      <c r="AC54" s="924">
        <v>655</v>
      </c>
      <c r="AD54" s="924">
        <v>628</v>
      </c>
      <c r="AE54" s="924">
        <v>585</v>
      </c>
      <c r="AF54" s="924">
        <v>574</v>
      </c>
      <c r="AG54" s="924">
        <v>585</v>
      </c>
      <c r="AH54" s="924">
        <v>561</v>
      </c>
      <c r="AI54" s="924">
        <v>498</v>
      </c>
      <c r="AJ54" s="924">
        <v>488</v>
      </c>
      <c r="AK54" s="924">
        <v>534</v>
      </c>
      <c r="AL54" s="924">
        <v>574</v>
      </c>
      <c r="AM54" s="924">
        <v>536</v>
      </c>
      <c r="AN54" s="924">
        <v>526</v>
      </c>
      <c r="AO54" s="924">
        <v>494</v>
      </c>
      <c r="AP54" s="924">
        <v>496</v>
      </c>
      <c r="AQ54" s="924">
        <v>477</v>
      </c>
      <c r="AR54" s="924">
        <v>515</v>
      </c>
      <c r="AS54" s="924">
        <v>514</v>
      </c>
      <c r="AT54" s="924">
        <v>544</v>
      </c>
      <c r="AU54" s="924">
        <v>521</v>
      </c>
      <c r="AV54" s="924">
        <v>570</v>
      </c>
      <c r="AW54" s="924">
        <v>548</v>
      </c>
      <c r="AX54" s="924">
        <v>578</v>
      </c>
      <c r="AY54" s="924">
        <v>547</v>
      </c>
      <c r="AZ54" s="924">
        <v>568</v>
      </c>
      <c r="BA54" s="924">
        <v>560</v>
      </c>
      <c r="BB54" s="924">
        <v>604</v>
      </c>
      <c r="BC54" s="924">
        <v>573</v>
      </c>
      <c r="BD54" s="924">
        <v>600</v>
      </c>
      <c r="BE54" s="924">
        <v>597</v>
      </c>
      <c r="BF54" s="924">
        <v>641</v>
      </c>
      <c r="BG54" s="924">
        <v>606</v>
      </c>
      <c r="BH54" s="924">
        <v>530</v>
      </c>
      <c r="BI54" s="924">
        <v>551</v>
      </c>
      <c r="BJ54" s="924">
        <v>523</v>
      </c>
      <c r="BK54" s="924">
        <v>595</v>
      </c>
      <c r="BL54" s="924">
        <v>688</v>
      </c>
      <c r="BM54" s="924">
        <v>671</v>
      </c>
      <c r="BN54" s="924">
        <v>725</v>
      </c>
      <c r="BO54" s="924">
        <v>742</v>
      </c>
      <c r="BP54" s="924">
        <v>784</v>
      </c>
      <c r="BQ54" s="924">
        <v>767</v>
      </c>
      <c r="BR54" s="924">
        <v>833</v>
      </c>
      <c r="BS54" s="924">
        <v>864</v>
      </c>
      <c r="BT54" s="924">
        <v>839</v>
      </c>
      <c r="BU54" s="924">
        <v>901</v>
      </c>
      <c r="BV54" s="924">
        <v>902</v>
      </c>
      <c r="BW54" s="924">
        <v>846</v>
      </c>
      <c r="BX54" s="924">
        <v>898</v>
      </c>
      <c r="BY54" s="924">
        <v>882</v>
      </c>
      <c r="BZ54" s="924">
        <v>848</v>
      </c>
      <c r="CA54" s="924">
        <v>847</v>
      </c>
      <c r="CB54" s="924">
        <v>839</v>
      </c>
      <c r="CC54" s="924">
        <v>779</v>
      </c>
      <c r="CD54" s="924">
        <v>805</v>
      </c>
      <c r="CE54" s="924">
        <v>752</v>
      </c>
      <c r="CF54" s="924">
        <v>757</v>
      </c>
      <c r="CG54" s="924">
        <v>763</v>
      </c>
      <c r="CH54" s="924">
        <v>681</v>
      </c>
      <c r="CI54" s="924">
        <v>693</v>
      </c>
      <c r="CJ54" s="924">
        <v>685</v>
      </c>
      <c r="CK54" s="924">
        <v>743</v>
      </c>
      <c r="CL54" s="924">
        <v>717</v>
      </c>
      <c r="CM54" s="924">
        <v>752</v>
      </c>
      <c r="CN54" s="924">
        <v>525</v>
      </c>
      <c r="CO54" s="924">
        <v>481</v>
      </c>
      <c r="CP54" s="924">
        <v>499</v>
      </c>
      <c r="CQ54" s="924">
        <v>461</v>
      </c>
      <c r="CR54" s="924">
        <v>398</v>
      </c>
      <c r="CS54" s="924">
        <v>332</v>
      </c>
      <c r="CT54" s="924">
        <v>288</v>
      </c>
      <c r="CU54" s="924">
        <v>286</v>
      </c>
      <c r="CV54" s="924">
        <v>240</v>
      </c>
      <c r="CW54" s="924">
        <v>245</v>
      </c>
      <c r="CX54" s="924">
        <v>178</v>
      </c>
      <c r="CY54" s="924">
        <v>164</v>
      </c>
      <c r="CZ54" s="924">
        <v>132</v>
      </c>
      <c r="DA54" s="926">
        <v>503</v>
      </c>
      <c r="DB54" s="39">
        <v>365</v>
      </c>
      <c r="DC54" s="39">
        <v>407</v>
      </c>
      <c r="DD54" s="39">
        <v>407</v>
      </c>
      <c r="DE54" s="39">
        <v>423</v>
      </c>
      <c r="DF54" s="39">
        <v>480</v>
      </c>
      <c r="DG54" s="39">
        <v>470</v>
      </c>
      <c r="DH54" s="39">
        <v>510</v>
      </c>
      <c r="DI54" s="39">
        <v>558</v>
      </c>
      <c r="DJ54" s="39">
        <v>555</v>
      </c>
      <c r="DK54" s="39">
        <v>534</v>
      </c>
      <c r="DL54" s="39">
        <v>496</v>
      </c>
      <c r="DM54" s="39">
        <v>577</v>
      </c>
      <c r="DN54" s="39">
        <v>628</v>
      </c>
      <c r="DO54" s="39">
        <v>573</v>
      </c>
      <c r="DP54" s="39">
        <v>586</v>
      </c>
      <c r="DQ54" s="39">
        <v>582</v>
      </c>
      <c r="DR54" s="39">
        <v>594</v>
      </c>
      <c r="DS54" s="39">
        <v>621</v>
      </c>
      <c r="DT54" s="39">
        <v>558</v>
      </c>
      <c r="DU54" s="39">
        <v>458</v>
      </c>
      <c r="DV54" s="39">
        <v>454</v>
      </c>
      <c r="DW54" s="39">
        <v>409</v>
      </c>
      <c r="DX54" s="39">
        <v>473</v>
      </c>
      <c r="DY54" s="39">
        <v>502</v>
      </c>
      <c r="DZ54" s="39">
        <v>547</v>
      </c>
      <c r="EA54" s="39">
        <v>502</v>
      </c>
      <c r="EB54" s="39">
        <v>510</v>
      </c>
      <c r="EC54" s="39">
        <v>534</v>
      </c>
      <c r="ED54" s="39">
        <v>509</v>
      </c>
      <c r="EE54" s="39">
        <v>563</v>
      </c>
      <c r="EF54" s="39">
        <v>529</v>
      </c>
      <c r="EG54" s="39">
        <v>602</v>
      </c>
      <c r="EH54" s="39">
        <v>545</v>
      </c>
      <c r="EI54" s="39">
        <v>669</v>
      </c>
      <c r="EJ54" s="39">
        <v>588</v>
      </c>
      <c r="EK54" s="39">
        <v>619</v>
      </c>
      <c r="EL54" s="39">
        <v>604</v>
      </c>
      <c r="EM54" s="39">
        <v>619</v>
      </c>
      <c r="EN54" s="39">
        <v>667</v>
      </c>
      <c r="EO54" s="39">
        <v>633</v>
      </c>
      <c r="EP54" s="39">
        <v>638</v>
      </c>
      <c r="EQ54" s="39">
        <v>679</v>
      </c>
      <c r="ER54" s="39">
        <v>710</v>
      </c>
      <c r="ES54" s="39">
        <v>645</v>
      </c>
      <c r="ET54" s="39">
        <v>593</v>
      </c>
      <c r="EU54" s="39">
        <v>625</v>
      </c>
      <c r="EV54" s="39">
        <v>616</v>
      </c>
      <c r="EW54" s="39">
        <v>638</v>
      </c>
      <c r="EX54" s="39">
        <v>730</v>
      </c>
      <c r="EY54" s="39">
        <v>683</v>
      </c>
      <c r="EZ54" s="39">
        <v>703</v>
      </c>
      <c r="FA54" s="39">
        <v>854</v>
      </c>
      <c r="FB54" s="39">
        <v>864</v>
      </c>
      <c r="FC54" s="39">
        <v>899</v>
      </c>
      <c r="FD54" s="39">
        <v>831</v>
      </c>
      <c r="FE54" s="39">
        <v>937</v>
      </c>
      <c r="FF54" s="39">
        <v>950</v>
      </c>
      <c r="FG54" s="39">
        <v>904</v>
      </c>
      <c r="FH54" s="39">
        <v>978</v>
      </c>
      <c r="FI54" s="39">
        <v>959</v>
      </c>
      <c r="FJ54" s="39">
        <v>1025</v>
      </c>
      <c r="FK54" s="39">
        <v>938</v>
      </c>
      <c r="FL54" s="39">
        <v>992</v>
      </c>
      <c r="FM54" s="39">
        <v>926</v>
      </c>
      <c r="FN54" s="39">
        <v>930</v>
      </c>
      <c r="FO54" s="39">
        <v>969</v>
      </c>
      <c r="FP54" s="39">
        <v>876</v>
      </c>
      <c r="FQ54" s="39">
        <v>871</v>
      </c>
      <c r="FR54" s="39">
        <v>837</v>
      </c>
      <c r="FS54" s="39">
        <v>864</v>
      </c>
      <c r="FT54" s="39">
        <v>815</v>
      </c>
      <c r="FU54" s="39">
        <v>797</v>
      </c>
      <c r="FV54" s="39">
        <v>766</v>
      </c>
      <c r="FW54" s="39">
        <v>764</v>
      </c>
      <c r="FX54" s="39">
        <v>777</v>
      </c>
      <c r="FY54" s="39">
        <v>770</v>
      </c>
      <c r="FZ54" s="39">
        <v>864</v>
      </c>
      <c r="GA54" s="39">
        <v>638</v>
      </c>
      <c r="GB54" s="39">
        <v>616</v>
      </c>
      <c r="GC54" s="39">
        <v>586</v>
      </c>
      <c r="GD54" s="39">
        <v>596</v>
      </c>
      <c r="GE54" s="39">
        <v>522</v>
      </c>
      <c r="GF54" s="39">
        <v>416</v>
      </c>
      <c r="GG54" s="39">
        <v>459</v>
      </c>
      <c r="GH54" s="39">
        <v>394</v>
      </c>
      <c r="GI54" s="39">
        <v>377</v>
      </c>
      <c r="GJ54" s="39">
        <v>335</v>
      </c>
      <c r="GK54" s="39">
        <v>287</v>
      </c>
      <c r="GL54" s="39">
        <v>252</v>
      </c>
      <c r="GM54" s="39">
        <v>222</v>
      </c>
      <c r="GN54" s="40">
        <v>862</v>
      </c>
    </row>
    <row r="55" spans="1:196" s="1" customFormat="1" x14ac:dyDescent="0.2">
      <c r="A55" s="41" t="s">
        <v>1039</v>
      </c>
      <c r="B55" s="284" t="s">
        <v>1022</v>
      </c>
      <c r="C55" s="24" t="str">
        <f t="shared" si="10"/>
        <v>Council area - South Lanarkshire</v>
      </c>
      <c r="D55" s="32">
        <f t="shared" si="17"/>
        <v>151478</v>
      </c>
      <c r="E55" s="32">
        <f t="shared" si="17"/>
        <v>162700</v>
      </c>
      <c r="F55" s="33">
        <f t="shared" si="18"/>
        <v>330280</v>
      </c>
      <c r="G55" s="33">
        <f t="shared" si="19"/>
        <v>159674</v>
      </c>
      <c r="H55" s="34">
        <f t="shared" si="20"/>
        <v>170606</v>
      </c>
      <c r="I55" s="390">
        <f t="shared" si="13"/>
        <v>151478</v>
      </c>
      <c r="J55" s="34">
        <f t="shared" si="14"/>
        <v>162700</v>
      </c>
      <c r="K55" s="55">
        <f t="shared" si="11"/>
        <v>22205</v>
      </c>
      <c r="L55" s="32">
        <f t="shared" si="12"/>
        <v>21189</v>
      </c>
      <c r="M55" s="55">
        <f t="shared" si="15"/>
        <v>138707</v>
      </c>
      <c r="N55" s="32">
        <f t="shared" si="16"/>
        <v>150681</v>
      </c>
      <c r="O55" s="924">
        <v>1552</v>
      </c>
      <c r="P55" s="924">
        <v>1633</v>
      </c>
      <c r="Q55" s="924">
        <v>1631</v>
      </c>
      <c r="R55" s="924">
        <v>1624</v>
      </c>
      <c r="S55" s="924">
        <v>1756</v>
      </c>
      <c r="T55" s="924">
        <v>1674</v>
      </c>
      <c r="U55" s="924">
        <v>1843</v>
      </c>
      <c r="V55" s="924">
        <v>1793</v>
      </c>
      <c r="W55" s="924">
        <v>1895</v>
      </c>
      <c r="X55" s="924">
        <v>1786</v>
      </c>
      <c r="Y55" s="924">
        <v>1815</v>
      </c>
      <c r="Z55" s="924">
        <v>1965</v>
      </c>
      <c r="AA55" s="924">
        <v>1882</v>
      </c>
      <c r="AB55" s="924">
        <v>1889</v>
      </c>
      <c r="AC55" s="924">
        <v>1900</v>
      </c>
      <c r="AD55" s="924">
        <v>1913</v>
      </c>
      <c r="AE55" s="924">
        <v>1850</v>
      </c>
      <c r="AF55" s="924">
        <v>1846</v>
      </c>
      <c r="AG55" s="924">
        <v>1754</v>
      </c>
      <c r="AH55" s="924">
        <v>1716</v>
      </c>
      <c r="AI55" s="924">
        <v>1587</v>
      </c>
      <c r="AJ55" s="924">
        <v>1677</v>
      </c>
      <c r="AK55" s="924">
        <v>1691</v>
      </c>
      <c r="AL55" s="924">
        <v>1823</v>
      </c>
      <c r="AM55" s="924">
        <v>1818</v>
      </c>
      <c r="AN55" s="924">
        <v>1643</v>
      </c>
      <c r="AO55" s="924">
        <v>1896</v>
      </c>
      <c r="AP55" s="924">
        <v>1810</v>
      </c>
      <c r="AQ55" s="924">
        <v>1773</v>
      </c>
      <c r="AR55" s="924">
        <v>1932</v>
      </c>
      <c r="AS55" s="924">
        <v>1879</v>
      </c>
      <c r="AT55" s="924">
        <v>2138</v>
      </c>
      <c r="AU55" s="924">
        <v>1987</v>
      </c>
      <c r="AV55" s="924">
        <v>2004</v>
      </c>
      <c r="AW55" s="924">
        <v>2024</v>
      </c>
      <c r="AX55" s="924">
        <v>2145</v>
      </c>
      <c r="AY55" s="924">
        <v>1927</v>
      </c>
      <c r="AZ55" s="924">
        <v>2095</v>
      </c>
      <c r="BA55" s="924">
        <v>2105</v>
      </c>
      <c r="BB55" s="924">
        <v>2073</v>
      </c>
      <c r="BC55" s="924">
        <v>2083</v>
      </c>
      <c r="BD55" s="924">
        <v>2038</v>
      </c>
      <c r="BE55" s="924">
        <v>2224</v>
      </c>
      <c r="BF55" s="924">
        <v>2131</v>
      </c>
      <c r="BG55" s="924">
        <v>1974</v>
      </c>
      <c r="BH55" s="924">
        <v>1800</v>
      </c>
      <c r="BI55" s="924">
        <v>1856</v>
      </c>
      <c r="BJ55" s="924">
        <v>1899</v>
      </c>
      <c r="BK55" s="924">
        <v>1972</v>
      </c>
      <c r="BL55" s="924">
        <v>1940</v>
      </c>
      <c r="BM55" s="924">
        <v>2082</v>
      </c>
      <c r="BN55" s="924">
        <v>2281</v>
      </c>
      <c r="BO55" s="924">
        <v>2415</v>
      </c>
      <c r="BP55" s="924">
        <v>2378</v>
      </c>
      <c r="BQ55" s="924">
        <v>2431</v>
      </c>
      <c r="BR55" s="924">
        <v>2504</v>
      </c>
      <c r="BS55" s="924">
        <v>2494</v>
      </c>
      <c r="BT55" s="924">
        <v>2382</v>
      </c>
      <c r="BU55" s="924">
        <v>2414</v>
      </c>
      <c r="BV55" s="924">
        <v>2484</v>
      </c>
      <c r="BW55" s="924">
        <v>2481</v>
      </c>
      <c r="BX55" s="924">
        <v>2341</v>
      </c>
      <c r="BY55" s="924">
        <v>2270</v>
      </c>
      <c r="BZ55" s="924">
        <v>2323</v>
      </c>
      <c r="CA55" s="924">
        <v>2167</v>
      </c>
      <c r="CB55" s="924">
        <v>2143</v>
      </c>
      <c r="CC55" s="924">
        <v>2000</v>
      </c>
      <c r="CD55" s="924">
        <v>1995</v>
      </c>
      <c r="CE55" s="924">
        <v>1874</v>
      </c>
      <c r="CF55" s="924">
        <v>1820</v>
      </c>
      <c r="CG55" s="924">
        <v>1773</v>
      </c>
      <c r="CH55" s="924">
        <v>1626</v>
      </c>
      <c r="CI55" s="924">
        <v>1577</v>
      </c>
      <c r="CJ55" s="924">
        <v>1492</v>
      </c>
      <c r="CK55" s="924">
        <v>1543</v>
      </c>
      <c r="CL55" s="924">
        <v>1523</v>
      </c>
      <c r="CM55" s="924">
        <v>1551</v>
      </c>
      <c r="CN55" s="924">
        <v>1157</v>
      </c>
      <c r="CO55" s="924">
        <v>1067</v>
      </c>
      <c r="CP55" s="924">
        <v>1030</v>
      </c>
      <c r="CQ55" s="924">
        <v>951</v>
      </c>
      <c r="CR55" s="924">
        <v>815</v>
      </c>
      <c r="CS55" s="924">
        <v>670</v>
      </c>
      <c r="CT55" s="924">
        <v>601</v>
      </c>
      <c r="CU55" s="924">
        <v>570</v>
      </c>
      <c r="CV55" s="924">
        <v>560</v>
      </c>
      <c r="CW55" s="924">
        <v>478</v>
      </c>
      <c r="CX55" s="924">
        <v>400</v>
      </c>
      <c r="CY55" s="924">
        <v>298</v>
      </c>
      <c r="CZ55" s="924">
        <v>239</v>
      </c>
      <c r="DA55" s="926">
        <v>813</v>
      </c>
      <c r="DB55" s="39">
        <v>1549</v>
      </c>
      <c r="DC55" s="39">
        <v>1579</v>
      </c>
      <c r="DD55" s="39">
        <v>1591</v>
      </c>
      <c r="DE55" s="39">
        <v>1490</v>
      </c>
      <c r="DF55" s="39">
        <v>1697</v>
      </c>
      <c r="DG55" s="39">
        <v>1690</v>
      </c>
      <c r="DH55" s="39">
        <v>1648</v>
      </c>
      <c r="DI55" s="39">
        <v>1658</v>
      </c>
      <c r="DJ55" s="39">
        <v>1721</v>
      </c>
      <c r="DK55" s="39">
        <v>1699</v>
      </c>
      <c r="DL55" s="39">
        <v>1843</v>
      </c>
      <c r="DM55" s="39">
        <v>1760</v>
      </c>
      <c r="DN55" s="39">
        <v>1817</v>
      </c>
      <c r="DO55" s="39">
        <v>1902</v>
      </c>
      <c r="DP55" s="39">
        <v>1810</v>
      </c>
      <c r="DQ55" s="39">
        <v>1840</v>
      </c>
      <c r="DR55" s="39">
        <v>1801</v>
      </c>
      <c r="DS55" s="39">
        <v>1894</v>
      </c>
      <c r="DT55" s="39">
        <v>1681</v>
      </c>
      <c r="DU55" s="39">
        <v>1584</v>
      </c>
      <c r="DV55" s="39">
        <v>1531</v>
      </c>
      <c r="DW55" s="39">
        <v>1591</v>
      </c>
      <c r="DX55" s="39">
        <v>1657</v>
      </c>
      <c r="DY55" s="39">
        <v>1802</v>
      </c>
      <c r="DZ55" s="39">
        <v>1773</v>
      </c>
      <c r="EA55" s="39">
        <v>1702</v>
      </c>
      <c r="EB55" s="39">
        <v>1851</v>
      </c>
      <c r="EC55" s="39">
        <v>1842</v>
      </c>
      <c r="ED55" s="39">
        <v>1981</v>
      </c>
      <c r="EE55" s="39">
        <v>2087</v>
      </c>
      <c r="EF55" s="39">
        <v>1971</v>
      </c>
      <c r="EG55" s="39">
        <v>2275</v>
      </c>
      <c r="EH55" s="39">
        <v>2197</v>
      </c>
      <c r="EI55" s="39">
        <v>2178</v>
      </c>
      <c r="EJ55" s="39">
        <v>2189</v>
      </c>
      <c r="EK55" s="39">
        <v>2192</v>
      </c>
      <c r="EL55" s="39">
        <v>2105</v>
      </c>
      <c r="EM55" s="39">
        <v>2248</v>
      </c>
      <c r="EN55" s="39">
        <v>2249</v>
      </c>
      <c r="EO55" s="39">
        <v>2188</v>
      </c>
      <c r="EP55" s="39">
        <v>2256</v>
      </c>
      <c r="EQ55" s="39">
        <v>2245</v>
      </c>
      <c r="ER55" s="39">
        <v>2329</v>
      </c>
      <c r="ES55" s="39">
        <v>2189</v>
      </c>
      <c r="ET55" s="39">
        <v>2083</v>
      </c>
      <c r="EU55" s="39">
        <v>2071</v>
      </c>
      <c r="EV55" s="39">
        <v>1927</v>
      </c>
      <c r="EW55" s="39">
        <v>2053</v>
      </c>
      <c r="EX55" s="39">
        <v>2124</v>
      </c>
      <c r="EY55" s="39">
        <v>2115</v>
      </c>
      <c r="EZ55" s="39">
        <v>2229</v>
      </c>
      <c r="FA55" s="39">
        <v>2395</v>
      </c>
      <c r="FB55" s="39">
        <v>2535</v>
      </c>
      <c r="FC55" s="39">
        <v>2541</v>
      </c>
      <c r="FD55" s="39">
        <v>2588</v>
      </c>
      <c r="FE55" s="39">
        <v>2618</v>
      </c>
      <c r="FF55" s="39">
        <v>2599</v>
      </c>
      <c r="FG55" s="39">
        <v>2546</v>
      </c>
      <c r="FH55" s="39">
        <v>2594</v>
      </c>
      <c r="FI55" s="39">
        <v>2779</v>
      </c>
      <c r="FJ55" s="39">
        <v>2631</v>
      </c>
      <c r="FK55" s="39">
        <v>2590</v>
      </c>
      <c r="FL55" s="39">
        <v>2404</v>
      </c>
      <c r="FM55" s="39">
        <v>2429</v>
      </c>
      <c r="FN55" s="39">
        <v>2464</v>
      </c>
      <c r="FO55" s="39">
        <v>2324</v>
      </c>
      <c r="FP55" s="39">
        <v>2246</v>
      </c>
      <c r="FQ55" s="39">
        <v>2166</v>
      </c>
      <c r="FR55" s="39">
        <v>2152</v>
      </c>
      <c r="FS55" s="39">
        <v>2010</v>
      </c>
      <c r="FT55" s="39">
        <v>1904</v>
      </c>
      <c r="FU55" s="39">
        <v>1872</v>
      </c>
      <c r="FV55" s="39">
        <v>1749</v>
      </c>
      <c r="FW55" s="39">
        <v>1667</v>
      </c>
      <c r="FX55" s="39">
        <v>1772</v>
      </c>
      <c r="FY55" s="39">
        <v>1820</v>
      </c>
      <c r="FZ55" s="39">
        <v>1848</v>
      </c>
      <c r="GA55" s="39">
        <v>1368</v>
      </c>
      <c r="GB55" s="39">
        <v>1229</v>
      </c>
      <c r="GC55" s="39">
        <v>1343</v>
      </c>
      <c r="GD55" s="39">
        <v>1176</v>
      </c>
      <c r="GE55" s="39">
        <v>1097</v>
      </c>
      <c r="GF55" s="39">
        <v>1022</v>
      </c>
      <c r="GG55" s="39">
        <v>941</v>
      </c>
      <c r="GH55" s="39">
        <v>877</v>
      </c>
      <c r="GI55" s="39">
        <v>761</v>
      </c>
      <c r="GJ55" s="39">
        <v>710</v>
      </c>
      <c r="GK55" s="39">
        <v>683</v>
      </c>
      <c r="GL55" s="39">
        <v>581</v>
      </c>
      <c r="GM55" s="39">
        <v>452</v>
      </c>
      <c r="GN55" s="40">
        <v>1639</v>
      </c>
    </row>
    <row r="56" spans="1:196" s="1" customFormat="1" x14ac:dyDescent="0.2">
      <c r="A56" s="41" t="s">
        <v>1039</v>
      </c>
      <c r="B56" s="284" t="s">
        <v>1023</v>
      </c>
      <c r="C56" s="24" t="str">
        <f t="shared" si="10"/>
        <v>Council area - Stirling</v>
      </c>
      <c r="D56" s="32">
        <f t="shared" si="17"/>
        <v>43108</v>
      </c>
      <c r="E56" s="32">
        <f t="shared" si="17"/>
        <v>46706</v>
      </c>
      <c r="F56" s="33">
        <f t="shared" si="18"/>
        <v>93550</v>
      </c>
      <c r="G56" s="33">
        <f t="shared" si="19"/>
        <v>45053</v>
      </c>
      <c r="H56" s="34">
        <f t="shared" si="20"/>
        <v>48497</v>
      </c>
      <c r="I56" s="390">
        <f t="shared" si="13"/>
        <v>43108</v>
      </c>
      <c r="J56" s="34">
        <f t="shared" si="14"/>
        <v>46706</v>
      </c>
      <c r="K56" s="55">
        <f t="shared" si="11"/>
        <v>6199</v>
      </c>
      <c r="L56" s="32">
        <f t="shared" si="12"/>
        <v>5854</v>
      </c>
      <c r="M56" s="55">
        <f t="shared" si="15"/>
        <v>39677</v>
      </c>
      <c r="N56" s="32">
        <f t="shared" si="16"/>
        <v>43467</v>
      </c>
      <c r="O56" s="924">
        <v>330</v>
      </c>
      <c r="P56" s="924">
        <v>386</v>
      </c>
      <c r="Q56" s="924">
        <v>379</v>
      </c>
      <c r="R56" s="924">
        <v>417</v>
      </c>
      <c r="S56" s="924">
        <v>433</v>
      </c>
      <c r="T56" s="924">
        <v>434</v>
      </c>
      <c r="U56" s="924">
        <v>467</v>
      </c>
      <c r="V56" s="924">
        <v>475</v>
      </c>
      <c r="W56" s="924">
        <v>469</v>
      </c>
      <c r="X56" s="924">
        <v>525</v>
      </c>
      <c r="Y56" s="924">
        <v>527</v>
      </c>
      <c r="Z56" s="924">
        <v>534</v>
      </c>
      <c r="AA56" s="924">
        <v>531</v>
      </c>
      <c r="AB56" s="924">
        <v>580</v>
      </c>
      <c r="AC56" s="924">
        <v>536</v>
      </c>
      <c r="AD56" s="924">
        <v>541</v>
      </c>
      <c r="AE56" s="924">
        <v>580</v>
      </c>
      <c r="AF56" s="924">
        <v>540</v>
      </c>
      <c r="AG56" s="924">
        <v>594</v>
      </c>
      <c r="AH56" s="924">
        <v>669</v>
      </c>
      <c r="AI56" s="924">
        <v>891</v>
      </c>
      <c r="AJ56" s="924">
        <v>764</v>
      </c>
      <c r="AK56" s="924">
        <v>798</v>
      </c>
      <c r="AL56" s="924">
        <v>703</v>
      </c>
      <c r="AM56" s="924">
        <v>680</v>
      </c>
      <c r="AN56" s="924">
        <v>553</v>
      </c>
      <c r="AO56" s="924">
        <v>559</v>
      </c>
      <c r="AP56" s="924">
        <v>505</v>
      </c>
      <c r="AQ56" s="924">
        <v>477</v>
      </c>
      <c r="AR56" s="924">
        <v>500</v>
      </c>
      <c r="AS56" s="924">
        <v>472</v>
      </c>
      <c r="AT56" s="924">
        <v>473</v>
      </c>
      <c r="AU56" s="924">
        <v>531</v>
      </c>
      <c r="AV56" s="924">
        <v>518</v>
      </c>
      <c r="AW56" s="924">
        <v>462</v>
      </c>
      <c r="AX56" s="924">
        <v>508</v>
      </c>
      <c r="AY56" s="924">
        <v>495</v>
      </c>
      <c r="AZ56" s="924">
        <v>448</v>
      </c>
      <c r="BA56" s="924">
        <v>510</v>
      </c>
      <c r="BB56" s="924">
        <v>529</v>
      </c>
      <c r="BC56" s="924">
        <v>504</v>
      </c>
      <c r="BD56" s="924">
        <v>521</v>
      </c>
      <c r="BE56" s="924">
        <v>527</v>
      </c>
      <c r="BF56" s="924">
        <v>546</v>
      </c>
      <c r="BG56" s="924">
        <v>594</v>
      </c>
      <c r="BH56" s="924">
        <v>487</v>
      </c>
      <c r="BI56" s="924">
        <v>519</v>
      </c>
      <c r="BJ56" s="924">
        <v>547</v>
      </c>
      <c r="BK56" s="924">
        <v>497</v>
      </c>
      <c r="BL56" s="924">
        <v>520</v>
      </c>
      <c r="BM56" s="924">
        <v>534</v>
      </c>
      <c r="BN56" s="924">
        <v>576</v>
      </c>
      <c r="BO56" s="924">
        <v>666</v>
      </c>
      <c r="BP56" s="924">
        <v>644</v>
      </c>
      <c r="BQ56" s="924">
        <v>668</v>
      </c>
      <c r="BR56" s="924">
        <v>701</v>
      </c>
      <c r="BS56" s="924">
        <v>672</v>
      </c>
      <c r="BT56" s="924">
        <v>671</v>
      </c>
      <c r="BU56" s="924">
        <v>752</v>
      </c>
      <c r="BV56" s="924">
        <v>674</v>
      </c>
      <c r="BW56" s="924">
        <v>659</v>
      </c>
      <c r="BX56" s="924">
        <v>610</v>
      </c>
      <c r="BY56" s="924">
        <v>602</v>
      </c>
      <c r="BZ56" s="924">
        <v>611</v>
      </c>
      <c r="CA56" s="924">
        <v>607</v>
      </c>
      <c r="CB56" s="924">
        <v>580</v>
      </c>
      <c r="CC56" s="924">
        <v>545</v>
      </c>
      <c r="CD56" s="924">
        <v>487</v>
      </c>
      <c r="CE56" s="924">
        <v>476</v>
      </c>
      <c r="CF56" s="924">
        <v>467</v>
      </c>
      <c r="CG56" s="924">
        <v>472</v>
      </c>
      <c r="CH56" s="924">
        <v>463</v>
      </c>
      <c r="CI56" s="924">
        <v>461</v>
      </c>
      <c r="CJ56" s="924">
        <v>433</v>
      </c>
      <c r="CK56" s="924">
        <v>460</v>
      </c>
      <c r="CL56" s="924">
        <v>442</v>
      </c>
      <c r="CM56" s="924">
        <v>519</v>
      </c>
      <c r="CN56" s="924">
        <v>372</v>
      </c>
      <c r="CO56" s="924">
        <v>294</v>
      </c>
      <c r="CP56" s="924">
        <v>321</v>
      </c>
      <c r="CQ56" s="924">
        <v>282</v>
      </c>
      <c r="CR56" s="924">
        <v>241</v>
      </c>
      <c r="CS56" s="924">
        <v>198</v>
      </c>
      <c r="CT56" s="924">
        <v>219</v>
      </c>
      <c r="CU56" s="924">
        <v>190</v>
      </c>
      <c r="CV56" s="924">
        <v>144</v>
      </c>
      <c r="CW56" s="924">
        <v>156</v>
      </c>
      <c r="CX56" s="924">
        <v>124</v>
      </c>
      <c r="CY56" s="924">
        <v>111</v>
      </c>
      <c r="CZ56" s="924">
        <v>74</v>
      </c>
      <c r="DA56" s="926">
        <v>290</v>
      </c>
      <c r="DB56" s="39">
        <v>328</v>
      </c>
      <c r="DC56" s="39">
        <v>325</v>
      </c>
      <c r="DD56" s="39">
        <v>348</v>
      </c>
      <c r="DE56" s="39">
        <v>375</v>
      </c>
      <c r="DF56" s="39">
        <v>415</v>
      </c>
      <c r="DG56" s="39">
        <v>435</v>
      </c>
      <c r="DH56" s="39">
        <v>421</v>
      </c>
      <c r="DI56" s="39">
        <v>483</v>
      </c>
      <c r="DJ56" s="39">
        <v>416</v>
      </c>
      <c r="DK56" s="39">
        <v>476</v>
      </c>
      <c r="DL56" s="39">
        <v>492</v>
      </c>
      <c r="DM56" s="39">
        <v>516</v>
      </c>
      <c r="DN56" s="39">
        <v>515</v>
      </c>
      <c r="DO56" s="39">
        <v>504</v>
      </c>
      <c r="DP56" s="39">
        <v>500</v>
      </c>
      <c r="DQ56" s="39">
        <v>538</v>
      </c>
      <c r="DR56" s="39">
        <v>558</v>
      </c>
      <c r="DS56" s="39">
        <v>561</v>
      </c>
      <c r="DT56" s="39">
        <v>594</v>
      </c>
      <c r="DU56" s="39">
        <v>748</v>
      </c>
      <c r="DV56" s="39">
        <v>925</v>
      </c>
      <c r="DW56" s="39">
        <v>934</v>
      </c>
      <c r="DX56" s="39">
        <v>968</v>
      </c>
      <c r="DY56" s="39">
        <v>762</v>
      </c>
      <c r="DZ56" s="39">
        <v>653</v>
      </c>
      <c r="EA56" s="39">
        <v>567</v>
      </c>
      <c r="EB56" s="39">
        <v>573</v>
      </c>
      <c r="EC56" s="39">
        <v>497</v>
      </c>
      <c r="ED56" s="39">
        <v>511</v>
      </c>
      <c r="EE56" s="39">
        <v>456</v>
      </c>
      <c r="EF56" s="39">
        <v>473</v>
      </c>
      <c r="EG56" s="39">
        <v>542</v>
      </c>
      <c r="EH56" s="39">
        <v>529</v>
      </c>
      <c r="EI56" s="39">
        <v>491</v>
      </c>
      <c r="EJ56" s="39">
        <v>487</v>
      </c>
      <c r="EK56" s="39">
        <v>550</v>
      </c>
      <c r="EL56" s="39">
        <v>510</v>
      </c>
      <c r="EM56" s="39">
        <v>523</v>
      </c>
      <c r="EN56" s="39">
        <v>558</v>
      </c>
      <c r="EO56" s="39">
        <v>549</v>
      </c>
      <c r="EP56" s="39">
        <v>569</v>
      </c>
      <c r="EQ56" s="39">
        <v>578</v>
      </c>
      <c r="ER56" s="39">
        <v>527</v>
      </c>
      <c r="ES56" s="39">
        <v>559</v>
      </c>
      <c r="ET56" s="39">
        <v>575</v>
      </c>
      <c r="EU56" s="39">
        <v>590</v>
      </c>
      <c r="EV56" s="39">
        <v>575</v>
      </c>
      <c r="EW56" s="39">
        <v>568</v>
      </c>
      <c r="EX56" s="39">
        <v>594</v>
      </c>
      <c r="EY56" s="39">
        <v>594</v>
      </c>
      <c r="EZ56" s="39">
        <v>660</v>
      </c>
      <c r="FA56" s="39">
        <v>712</v>
      </c>
      <c r="FB56" s="39">
        <v>737</v>
      </c>
      <c r="FC56" s="39">
        <v>779</v>
      </c>
      <c r="FD56" s="39">
        <v>735</v>
      </c>
      <c r="FE56" s="39">
        <v>742</v>
      </c>
      <c r="FF56" s="39">
        <v>690</v>
      </c>
      <c r="FG56" s="39">
        <v>775</v>
      </c>
      <c r="FH56" s="39">
        <v>768</v>
      </c>
      <c r="FI56" s="39">
        <v>723</v>
      </c>
      <c r="FJ56" s="39">
        <v>735</v>
      </c>
      <c r="FK56" s="39">
        <v>681</v>
      </c>
      <c r="FL56" s="39">
        <v>658</v>
      </c>
      <c r="FM56" s="39">
        <v>626</v>
      </c>
      <c r="FN56" s="39">
        <v>605</v>
      </c>
      <c r="FO56" s="39">
        <v>591</v>
      </c>
      <c r="FP56" s="39">
        <v>548</v>
      </c>
      <c r="FQ56" s="39">
        <v>538</v>
      </c>
      <c r="FR56" s="39">
        <v>481</v>
      </c>
      <c r="FS56" s="39">
        <v>539</v>
      </c>
      <c r="FT56" s="39">
        <v>510</v>
      </c>
      <c r="FU56" s="39">
        <v>480</v>
      </c>
      <c r="FV56" s="39">
        <v>517</v>
      </c>
      <c r="FW56" s="39">
        <v>472</v>
      </c>
      <c r="FX56" s="39">
        <v>489</v>
      </c>
      <c r="FY56" s="39">
        <v>516</v>
      </c>
      <c r="FZ56" s="39">
        <v>598</v>
      </c>
      <c r="GA56" s="39">
        <v>420</v>
      </c>
      <c r="GB56" s="39">
        <v>386</v>
      </c>
      <c r="GC56" s="39">
        <v>404</v>
      </c>
      <c r="GD56" s="39">
        <v>382</v>
      </c>
      <c r="GE56" s="39">
        <v>336</v>
      </c>
      <c r="GF56" s="39">
        <v>302</v>
      </c>
      <c r="GG56" s="39">
        <v>273</v>
      </c>
      <c r="GH56" s="39">
        <v>273</v>
      </c>
      <c r="GI56" s="39">
        <v>238</v>
      </c>
      <c r="GJ56" s="39">
        <v>228</v>
      </c>
      <c r="GK56" s="39">
        <v>206</v>
      </c>
      <c r="GL56" s="39">
        <v>156</v>
      </c>
      <c r="GM56" s="39">
        <v>112</v>
      </c>
      <c r="GN56" s="40">
        <v>541</v>
      </c>
    </row>
    <row r="57" spans="1:196" s="1" customFormat="1" x14ac:dyDescent="0.2">
      <c r="A57" s="41" t="s">
        <v>1039</v>
      </c>
      <c r="B57" s="284" t="s">
        <v>1024</v>
      </c>
      <c r="C57" s="24" t="str">
        <f t="shared" si="10"/>
        <v>Council area - West Dunbartonshire</v>
      </c>
      <c r="D57" s="32">
        <f t="shared" si="17"/>
        <v>40441</v>
      </c>
      <c r="E57" s="32">
        <f t="shared" si="17"/>
        <v>44170</v>
      </c>
      <c r="F57" s="33">
        <f t="shared" si="18"/>
        <v>88750</v>
      </c>
      <c r="G57" s="33">
        <f t="shared" si="19"/>
        <v>42631</v>
      </c>
      <c r="H57" s="34">
        <f t="shared" si="20"/>
        <v>46119</v>
      </c>
      <c r="I57" s="390">
        <f t="shared" si="13"/>
        <v>40441</v>
      </c>
      <c r="J57" s="34">
        <f t="shared" si="14"/>
        <v>44170</v>
      </c>
      <c r="K57" s="55">
        <f t="shared" si="11"/>
        <v>6021</v>
      </c>
      <c r="L57" s="32">
        <f t="shared" si="12"/>
        <v>5863</v>
      </c>
      <c r="M57" s="55">
        <f t="shared" si="15"/>
        <v>37041</v>
      </c>
      <c r="N57" s="32">
        <f t="shared" si="16"/>
        <v>40908</v>
      </c>
      <c r="O57" s="924">
        <v>436</v>
      </c>
      <c r="P57" s="924">
        <v>433</v>
      </c>
      <c r="Q57" s="924">
        <v>413</v>
      </c>
      <c r="R57" s="924">
        <v>426</v>
      </c>
      <c r="S57" s="924">
        <v>482</v>
      </c>
      <c r="T57" s="924">
        <v>438</v>
      </c>
      <c r="U57" s="924">
        <v>434</v>
      </c>
      <c r="V57" s="924">
        <v>480</v>
      </c>
      <c r="W57" s="924">
        <v>497</v>
      </c>
      <c r="X57" s="924">
        <v>453</v>
      </c>
      <c r="Y57" s="924">
        <v>523</v>
      </c>
      <c r="Z57" s="924">
        <v>575</v>
      </c>
      <c r="AA57" s="924">
        <v>538</v>
      </c>
      <c r="AB57" s="924">
        <v>537</v>
      </c>
      <c r="AC57" s="924">
        <v>520</v>
      </c>
      <c r="AD57" s="924">
        <v>500</v>
      </c>
      <c r="AE57" s="924">
        <v>526</v>
      </c>
      <c r="AF57" s="924">
        <v>488</v>
      </c>
      <c r="AG57" s="924">
        <v>525</v>
      </c>
      <c r="AH57" s="924">
        <v>477</v>
      </c>
      <c r="AI57" s="924">
        <v>440</v>
      </c>
      <c r="AJ57" s="924">
        <v>459</v>
      </c>
      <c r="AK57" s="924">
        <v>470</v>
      </c>
      <c r="AL57" s="924">
        <v>442</v>
      </c>
      <c r="AM57" s="924">
        <v>493</v>
      </c>
      <c r="AN57" s="924">
        <v>500</v>
      </c>
      <c r="AO57" s="924">
        <v>505</v>
      </c>
      <c r="AP57" s="924">
        <v>485</v>
      </c>
      <c r="AQ57" s="924">
        <v>526</v>
      </c>
      <c r="AR57" s="924">
        <v>512</v>
      </c>
      <c r="AS57" s="924">
        <v>506</v>
      </c>
      <c r="AT57" s="924">
        <v>541</v>
      </c>
      <c r="AU57" s="924">
        <v>524</v>
      </c>
      <c r="AV57" s="924">
        <v>520</v>
      </c>
      <c r="AW57" s="924">
        <v>536</v>
      </c>
      <c r="AX57" s="924">
        <v>582</v>
      </c>
      <c r="AY57" s="924">
        <v>548</v>
      </c>
      <c r="AZ57" s="924">
        <v>562</v>
      </c>
      <c r="BA57" s="924">
        <v>568</v>
      </c>
      <c r="BB57" s="924">
        <v>498</v>
      </c>
      <c r="BC57" s="924">
        <v>488</v>
      </c>
      <c r="BD57" s="924">
        <v>577</v>
      </c>
      <c r="BE57" s="924">
        <v>556</v>
      </c>
      <c r="BF57" s="924">
        <v>501</v>
      </c>
      <c r="BG57" s="924">
        <v>493</v>
      </c>
      <c r="BH57" s="924">
        <v>450</v>
      </c>
      <c r="BI57" s="924">
        <v>492</v>
      </c>
      <c r="BJ57" s="924">
        <v>512</v>
      </c>
      <c r="BK57" s="924">
        <v>474</v>
      </c>
      <c r="BL57" s="924">
        <v>524</v>
      </c>
      <c r="BM57" s="924">
        <v>554</v>
      </c>
      <c r="BN57" s="924">
        <v>603</v>
      </c>
      <c r="BO57" s="924">
        <v>580</v>
      </c>
      <c r="BP57" s="924">
        <v>584</v>
      </c>
      <c r="BQ57" s="924">
        <v>623</v>
      </c>
      <c r="BR57" s="924">
        <v>663</v>
      </c>
      <c r="BS57" s="924">
        <v>659</v>
      </c>
      <c r="BT57" s="924">
        <v>655</v>
      </c>
      <c r="BU57" s="924">
        <v>701</v>
      </c>
      <c r="BV57" s="924">
        <v>669</v>
      </c>
      <c r="BW57" s="924">
        <v>682</v>
      </c>
      <c r="BX57" s="924">
        <v>663</v>
      </c>
      <c r="BY57" s="924">
        <v>634</v>
      </c>
      <c r="BZ57" s="924">
        <v>640</v>
      </c>
      <c r="CA57" s="924">
        <v>600</v>
      </c>
      <c r="CB57" s="924">
        <v>619</v>
      </c>
      <c r="CC57" s="924">
        <v>539</v>
      </c>
      <c r="CD57" s="924">
        <v>563</v>
      </c>
      <c r="CE57" s="924">
        <v>493</v>
      </c>
      <c r="CF57" s="924">
        <v>473</v>
      </c>
      <c r="CG57" s="924">
        <v>476</v>
      </c>
      <c r="CH57" s="924">
        <v>435</v>
      </c>
      <c r="CI57" s="924">
        <v>432</v>
      </c>
      <c r="CJ57" s="924">
        <v>426</v>
      </c>
      <c r="CK57" s="924">
        <v>406</v>
      </c>
      <c r="CL57" s="924">
        <v>414</v>
      </c>
      <c r="CM57" s="924">
        <v>381</v>
      </c>
      <c r="CN57" s="924">
        <v>318</v>
      </c>
      <c r="CO57" s="924">
        <v>285</v>
      </c>
      <c r="CP57" s="924">
        <v>274</v>
      </c>
      <c r="CQ57" s="924">
        <v>237</v>
      </c>
      <c r="CR57" s="924">
        <v>195</v>
      </c>
      <c r="CS57" s="924">
        <v>158</v>
      </c>
      <c r="CT57" s="924">
        <v>161</v>
      </c>
      <c r="CU57" s="924">
        <v>135</v>
      </c>
      <c r="CV57" s="924">
        <v>133</v>
      </c>
      <c r="CW57" s="924">
        <v>119</v>
      </c>
      <c r="CX57" s="924">
        <v>104</v>
      </c>
      <c r="CY57" s="924">
        <v>84</v>
      </c>
      <c r="CZ57" s="924">
        <v>74</v>
      </c>
      <c r="DA57" s="926">
        <v>202</v>
      </c>
      <c r="DB57" s="39">
        <v>397</v>
      </c>
      <c r="DC57" s="39">
        <v>377</v>
      </c>
      <c r="DD57" s="39">
        <v>354</v>
      </c>
      <c r="DE57" s="39">
        <v>410</v>
      </c>
      <c r="DF57" s="39">
        <v>411</v>
      </c>
      <c r="DG57" s="39">
        <v>403</v>
      </c>
      <c r="DH57" s="39">
        <v>453</v>
      </c>
      <c r="DI57" s="39">
        <v>483</v>
      </c>
      <c r="DJ57" s="39">
        <v>482</v>
      </c>
      <c r="DK57" s="39">
        <v>459</v>
      </c>
      <c r="DL57" s="39">
        <v>479</v>
      </c>
      <c r="DM57" s="39">
        <v>503</v>
      </c>
      <c r="DN57" s="39">
        <v>479</v>
      </c>
      <c r="DO57" s="39">
        <v>513</v>
      </c>
      <c r="DP57" s="39">
        <v>523</v>
      </c>
      <c r="DQ57" s="39">
        <v>571</v>
      </c>
      <c r="DR57" s="39">
        <v>515</v>
      </c>
      <c r="DS57" s="39">
        <v>466</v>
      </c>
      <c r="DT57" s="39">
        <v>467</v>
      </c>
      <c r="DU57" s="39">
        <v>429</v>
      </c>
      <c r="DV57" s="39">
        <v>416</v>
      </c>
      <c r="DW57" s="39">
        <v>501</v>
      </c>
      <c r="DX57" s="39">
        <v>421</v>
      </c>
      <c r="DY57" s="39">
        <v>501</v>
      </c>
      <c r="DZ57" s="39">
        <v>528</v>
      </c>
      <c r="EA57" s="39">
        <v>513</v>
      </c>
      <c r="EB57" s="39">
        <v>505</v>
      </c>
      <c r="EC57" s="39">
        <v>494</v>
      </c>
      <c r="ED57" s="39">
        <v>528</v>
      </c>
      <c r="EE57" s="39">
        <v>584</v>
      </c>
      <c r="EF57" s="39">
        <v>579</v>
      </c>
      <c r="EG57" s="39">
        <v>626</v>
      </c>
      <c r="EH57" s="39">
        <v>599</v>
      </c>
      <c r="EI57" s="39">
        <v>592</v>
      </c>
      <c r="EJ57" s="39">
        <v>593</v>
      </c>
      <c r="EK57" s="39">
        <v>611</v>
      </c>
      <c r="EL57" s="39">
        <v>538</v>
      </c>
      <c r="EM57" s="39">
        <v>637</v>
      </c>
      <c r="EN57" s="39">
        <v>587</v>
      </c>
      <c r="EO57" s="39">
        <v>571</v>
      </c>
      <c r="EP57" s="39">
        <v>622</v>
      </c>
      <c r="EQ57" s="39">
        <v>573</v>
      </c>
      <c r="ER57" s="39">
        <v>622</v>
      </c>
      <c r="ES57" s="39">
        <v>565</v>
      </c>
      <c r="ET57" s="39">
        <v>504</v>
      </c>
      <c r="EU57" s="39">
        <v>463</v>
      </c>
      <c r="EV57" s="39">
        <v>513</v>
      </c>
      <c r="EW57" s="39">
        <v>531</v>
      </c>
      <c r="EX57" s="39">
        <v>501</v>
      </c>
      <c r="EY57" s="39">
        <v>543</v>
      </c>
      <c r="EZ57" s="39">
        <v>555</v>
      </c>
      <c r="FA57" s="39">
        <v>585</v>
      </c>
      <c r="FB57" s="39">
        <v>671</v>
      </c>
      <c r="FC57" s="39">
        <v>711</v>
      </c>
      <c r="FD57" s="39">
        <v>707</v>
      </c>
      <c r="FE57" s="39">
        <v>725</v>
      </c>
      <c r="FF57" s="39">
        <v>738</v>
      </c>
      <c r="FG57" s="39">
        <v>737</v>
      </c>
      <c r="FH57" s="39">
        <v>750</v>
      </c>
      <c r="FI57" s="39">
        <v>806</v>
      </c>
      <c r="FJ57" s="39">
        <v>772</v>
      </c>
      <c r="FK57" s="39">
        <v>716</v>
      </c>
      <c r="FL57" s="39">
        <v>724</v>
      </c>
      <c r="FM57" s="39">
        <v>684</v>
      </c>
      <c r="FN57" s="39">
        <v>672</v>
      </c>
      <c r="FO57" s="39">
        <v>657</v>
      </c>
      <c r="FP57" s="39">
        <v>617</v>
      </c>
      <c r="FQ57" s="39">
        <v>605</v>
      </c>
      <c r="FR57" s="39">
        <v>602</v>
      </c>
      <c r="FS57" s="39">
        <v>547</v>
      </c>
      <c r="FT57" s="39">
        <v>485</v>
      </c>
      <c r="FU57" s="39">
        <v>508</v>
      </c>
      <c r="FV57" s="39">
        <v>491</v>
      </c>
      <c r="FW57" s="39">
        <v>477</v>
      </c>
      <c r="FX57" s="39">
        <v>459</v>
      </c>
      <c r="FY57" s="39">
        <v>528</v>
      </c>
      <c r="FZ57" s="39">
        <v>452</v>
      </c>
      <c r="GA57" s="39">
        <v>353</v>
      </c>
      <c r="GB57" s="39">
        <v>332</v>
      </c>
      <c r="GC57" s="39">
        <v>305</v>
      </c>
      <c r="GD57" s="39">
        <v>312</v>
      </c>
      <c r="GE57" s="39">
        <v>293</v>
      </c>
      <c r="GF57" s="39">
        <v>250</v>
      </c>
      <c r="GG57" s="39">
        <v>253</v>
      </c>
      <c r="GH57" s="39">
        <v>236</v>
      </c>
      <c r="GI57" s="39">
        <v>202</v>
      </c>
      <c r="GJ57" s="39">
        <v>189</v>
      </c>
      <c r="GK57" s="39">
        <v>188</v>
      </c>
      <c r="GL57" s="39">
        <v>140</v>
      </c>
      <c r="GM57" s="39">
        <v>131</v>
      </c>
      <c r="GN57" s="40">
        <v>419</v>
      </c>
    </row>
    <row r="58" spans="1:196" s="1" customFormat="1" x14ac:dyDescent="0.2">
      <c r="A58" s="41" t="s">
        <v>1039</v>
      </c>
      <c r="B58" s="284" t="s">
        <v>1025</v>
      </c>
      <c r="C58" s="24" t="str">
        <f t="shared" si="10"/>
        <v>Council area - West Lothian</v>
      </c>
      <c r="D58" s="32">
        <f t="shared" si="17"/>
        <v>85090</v>
      </c>
      <c r="E58" s="32">
        <f t="shared" si="17"/>
        <v>89461</v>
      </c>
      <c r="F58" s="33">
        <f t="shared" si="18"/>
        <v>183810</v>
      </c>
      <c r="G58" s="33">
        <f t="shared" si="19"/>
        <v>89866</v>
      </c>
      <c r="H58" s="34">
        <f t="shared" si="20"/>
        <v>93944</v>
      </c>
      <c r="I58" s="390">
        <f t="shared" si="13"/>
        <v>85090</v>
      </c>
      <c r="J58" s="34">
        <f t="shared" si="14"/>
        <v>89461</v>
      </c>
      <c r="K58" s="55">
        <f t="shared" si="11"/>
        <v>13958</v>
      </c>
      <c r="L58" s="32">
        <f t="shared" si="12"/>
        <v>13235</v>
      </c>
      <c r="M58" s="55">
        <f t="shared" si="15"/>
        <v>77167</v>
      </c>
      <c r="N58" s="32">
        <f t="shared" si="16"/>
        <v>81949</v>
      </c>
      <c r="O58" s="924">
        <v>933</v>
      </c>
      <c r="P58" s="924">
        <v>899</v>
      </c>
      <c r="Q58" s="924">
        <v>924</v>
      </c>
      <c r="R58" s="924">
        <v>994</v>
      </c>
      <c r="S58" s="924">
        <v>1026</v>
      </c>
      <c r="T58" s="924">
        <v>1032</v>
      </c>
      <c r="U58" s="924">
        <v>1091</v>
      </c>
      <c r="V58" s="924">
        <v>1116</v>
      </c>
      <c r="W58" s="924">
        <v>1173</v>
      </c>
      <c r="X58" s="924">
        <v>1181</v>
      </c>
      <c r="Y58" s="924">
        <v>1143</v>
      </c>
      <c r="Z58" s="924">
        <v>1187</v>
      </c>
      <c r="AA58" s="924">
        <v>1237</v>
      </c>
      <c r="AB58" s="924">
        <v>1160</v>
      </c>
      <c r="AC58" s="924">
        <v>1216</v>
      </c>
      <c r="AD58" s="924">
        <v>1217</v>
      </c>
      <c r="AE58" s="924">
        <v>1205</v>
      </c>
      <c r="AF58" s="924">
        <v>1168</v>
      </c>
      <c r="AG58" s="924">
        <v>1139</v>
      </c>
      <c r="AH58" s="924">
        <v>944</v>
      </c>
      <c r="AI58" s="924">
        <v>868</v>
      </c>
      <c r="AJ58" s="924">
        <v>888</v>
      </c>
      <c r="AK58" s="924">
        <v>944</v>
      </c>
      <c r="AL58" s="924">
        <v>981</v>
      </c>
      <c r="AM58" s="924">
        <v>967</v>
      </c>
      <c r="AN58" s="924">
        <v>961</v>
      </c>
      <c r="AO58" s="924">
        <v>950</v>
      </c>
      <c r="AP58" s="924">
        <v>1024</v>
      </c>
      <c r="AQ58" s="924">
        <v>1017</v>
      </c>
      <c r="AR58" s="924">
        <v>1025</v>
      </c>
      <c r="AS58" s="924">
        <v>1114</v>
      </c>
      <c r="AT58" s="924">
        <v>1103</v>
      </c>
      <c r="AU58" s="924">
        <v>1216</v>
      </c>
      <c r="AV58" s="924">
        <v>1098</v>
      </c>
      <c r="AW58" s="924">
        <v>1179</v>
      </c>
      <c r="AX58" s="924">
        <v>1261</v>
      </c>
      <c r="AY58" s="924">
        <v>1233</v>
      </c>
      <c r="AZ58" s="924">
        <v>1200</v>
      </c>
      <c r="BA58" s="924">
        <v>1274</v>
      </c>
      <c r="BB58" s="924">
        <v>1213</v>
      </c>
      <c r="BC58" s="924">
        <v>1189</v>
      </c>
      <c r="BD58" s="924">
        <v>1169</v>
      </c>
      <c r="BE58" s="924">
        <v>1281</v>
      </c>
      <c r="BF58" s="924">
        <v>1210</v>
      </c>
      <c r="BG58" s="924">
        <v>1237</v>
      </c>
      <c r="BH58" s="924">
        <v>1099</v>
      </c>
      <c r="BI58" s="924">
        <v>1117</v>
      </c>
      <c r="BJ58" s="924">
        <v>1217</v>
      </c>
      <c r="BK58" s="924">
        <v>1189</v>
      </c>
      <c r="BL58" s="924">
        <v>1246</v>
      </c>
      <c r="BM58" s="924">
        <v>1221</v>
      </c>
      <c r="BN58" s="924">
        <v>1319</v>
      </c>
      <c r="BO58" s="924">
        <v>1393</v>
      </c>
      <c r="BP58" s="924">
        <v>1273</v>
      </c>
      <c r="BQ58" s="924">
        <v>1461</v>
      </c>
      <c r="BR58" s="924">
        <v>1508</v>
      </c>
      <c r="BS58" s="924">
        <v>1409</v>
      </c>
      <c r="BT58" s="924">
        <v>1320</v>
      </c>
      <c r="BU58" s="924">
        <v>1364</v>
      </c>
      <c r="BV58" s="924">
        <v>1361</v>
      </c>
      <c r="BW58" s="924">
        <v>1311</v>
      </c>
      <c r="BX58" s="924">
        <v>1225</v>
      </c>
      <c r="BY58" s="924">
        <v>1196</v>
      </c>
      <c r="BZ58" s="924">
        <v>1172</v>
      </c>
      <c r="CA58" s="924">
        <v>1100</v>
      </c>
      <c r="CB58" s="924">
        <v>1032</v>
      </c>
      <c r="CC58" s="924">
        <v>970</v>
      </c>
      <c r="CD58" s="924">
        <v>949</v>
      </c>
      <c r="CE58" s="924">
        <v>865</v>
      </c>
      <c r="CF58" s="924">
        <v>820</v>
      </c>
      <c r="CG58" s="924">
        <v>801</v>
      </c>
      <c r="CH58" s="924">
        <v>779</v>
      </c>
      <c r="CI58" s="924">
        <v>793</v>
      </c>
      <c r="CJ58" s="924">
        <v>778</v>
      </c>
      <c r="CK58" s="924">
        <v>758</v>
      </c>
      <c r="CL58" s="924">
        <v>815</v>
      </c>
      <c r="CM58" s="924">
        <v>824</v>
      </c>
      <c r="CN58" s="924">
        <v>595</v>
      </c>
      <c r="CO58" s="924">
        <v>531</v>
      </c>
      <c r="CP58" s="924">
        <v>452</v>
      </c>
      <c r="CQ58" s="924">
        <v>463</v>
      </c>
      <c r="CR58" s="924">
        <v>414</v>
      </c>
      <c r="CS58" s="924">
        <v>307</v>
      </c>
      <c r="CT58" s="924">
        <v>313</v>
      </c>
      <c r="CU58" s="924">
        <v>274</v>
      </c>
      <c r="CV58" s="924">
        <v>253</v>
      </c>
      <c r="CW58" s="924">
        <v>224</v>
      </c>
      <c r="CX58" s="924">
        <v>204</v>
      </c>
      <c r="CY58" s="924">
        <v>138</v>
      </c>
      <c r="CZ58" s="924">
        <v>111</v>
      </c>
      <c r="DA58" s="927">
        <v>315</v>
      </c>
      <c r="DB58" s="39">
        <v>858</v>
      </c>
      <c r="DC58" s="39">
        <v>889</v>
      </c>
      <c r="DD58" s="39">
        <v>935</v>
      </c>
      <c r="DE58" s="39">
        <v>911</v>
      </c>
      <c r="DF58" s="39">
        <v>890</v>
      </c>
      <c r="DG58" s="39">
        <v>955</v>
      </c>
      <c r="DH58" s="39">
        <v>1050</v>
      </c>
      <c r="DI58" s="39">
        <v>1064</v>
      </c>
      <c r="DJ58" s="39">
        <v>1005</v>
      </c>
      <c r="DK58" s="39">
        <v>1138</v>
      </c>
      <c r="DL58" s="39">
        <v>1178</v>
      </c>
      <c r="DM58" s="39">
        <v>1122</v>
      </c>
      <c r="DN58" s="39">
        <v>1163</v>
      </c>
      <c r="DO58" s="39">
        <v>1113</v>
      </c>
      <c r="DP58" s="39">
        <v>1132</v>
      </c>
      <c r="DQ58" s="39">
        <v>1158</v>
      </c>
      <c r="DR58" s="39">
        <v>1157</v>
      </c>
      <c r="DS58" s="39">
        <v>1088</v>
      </c>
      <c r="DT58" s="39">
        <v>996</v>
      </c>
      <c r="DU58" s="39">
        <v>805</v>
      </c>
      <c r="DV58" s="39">
        <v>794</v>
      </c>
      <c r="DW58" s="39">
        <v>850</v>
      </c>
      <c r="DX58" s="39">
        <v>858</v>
      </c>
      <c r="DY58" s="39">
        <v>986</v>
      </c>
      <c r="DZ58" s="39">
        <v>921</v>
      </c>
      <c r="EA58" s="39">
        <v>968</v>
      </c>
      <c r="EB58" s="39">
        <v>1038</v>
      </c>
      <c r="EC58" s="39">
        <v>1013</v>
      </c>
      <c r="ED58" s="39">
        <v>988</v>
      </c>
      <c r="EE58" s="39">
        <v>1170</v>
      </c>
      <c r="EF58" s="39">
        <v>1136</v>
      </c>
      <c r="EG58" s="39">
        <v>1218</v>
      </c>
      <c r="EH58" s="39">
        <v>1255</v>
      </c>
      <c r="EI58" s="39">
        <v>1293</v>
      </c>
      <c r="EJ58" s="39">
        <v>1312</v>
      </c>
      <c r="EK58" s="39">
        <v>1390</v>
      </c>
      <c r="EL58" s="39">
        <v>1331</v>
      </c>
      <c r="EM58" s="39">
        <v>1351</v>
      </c>
      <c r="EN58" s="39">
        <v>1413</v>
      </c>
      <c r="EO58" s="39">
        <v>1317</v>
      </c>
      <c r="EP58" s="39">
        <v>1340</v>
      </c>
      <c r="EQ58" s="39">
        <v>1330</v>
      </c>
      <c r="ER58" s="39">
        <v>1338</v>
      </c>
      <c r="ES58" s="39">
        <v>1236</v>
      </c>
      <c r="ET58" s="39">
        <v>1250</v>
      </c>
      <c r="EU58" s="39">
        <v>1149</v>
      </c>
      <c r="EV58" s="39">
        <v>1063</v>
      </c>
      <c r="EW58" s="39">
        <v>1182</v>
      </c>
      <c r="EX58" s="39">
        <v>1246</v>
      </c>
      <c r="EY58" s="39">
        <v>1265</v>
      </c>
      <c r="EZ58" s="39">
        <v>1411</v>
      </c>
      <c r="FA58" s="39">
        <v>1386</v>
      </c>
      <c r="FB58" s="39">
        <v>1416</v>
      </c>
      <c r="FC58" s="39">
        <v>1467</v>
      </c>
      <c r="FD58" s="39">
        <v>1472</v>
      </c>
      <c r="FE58" s="39">
        <v>1524</v>
      </c>
      <c r="FF58" s="39">
        <v>1461</v>
      </c>
      <c r="FG58" s="39">
        <v>1407</v>
      </c>
      <c r="FH58" s="39">
        <v>1450</v>
      </c>
      <c r="FI58" s="39">
        <v>1366</v>
      </c>
      <c r="FJ58" s="39">
        <v>1301</v>
      </c>
      <c r="FK58" s="39">
        <v>1292</v>
      </c>
      <c r="FL58" s="39">
        <v>1239</v>
      </c>
      <c r="FM58" s="39">
        <v>1209</v>
      </c>
      <c r="FN58" s="39">
        <v>1159</v>
      </c>
      <c r="FO58" s="39">
        <v>1135</v>
      </c>
      <c r="FP58" s="39">
        <v>1010</v>
      </c>
      <c r="FQ58" s="39">
        <v>1003</v>
      </c>
      <c r="FR58" s="39">
        <v>946</v>
      </c>
      <c r="FS58" s="39">
        <v>972</v>
      </c>
      <c r="FT58" s="39">
        <v>949</v>
      </c>
      <c r="FU58" s="39">
        <v>886</v>
      </c>
      <c r="FV58" s="39">
        <v>887</v>
      </c>
      <c r="FW58" s="39">
        <v>822</v>
      </c>
      <c r="FX58" s="39">
        <v>914</v>
      </c>
      <c r="FY58" s="39">
        <v>914</v>
      </c>
      <c r="FZ58" s="39">
        <v>920</v>
      </c>
      <c r="GA58" s="39">
        <v>721</v>
      </c>
      <c r="GB58" s="39">
        <v>649</v>
      </c>
      <c r="GC58" s="39">
        <v>608</v>
      </c>
      <c r="GD58" s="39">
        <v>603</v>
      </c>
      <c r="GE58" s="39">
        <v>512</v>
      </c>
      <c r="GF58" s="39">
        <v>436</v>
      </c>
      <c r="GG58" s="39">
        <v>452</v>
      </c>
      <c r="GH58" s="39">
        <v>409</v>
      </c>
      <c r="GI58" s="39">
        <v>345</v>
      </c>
      <c r="GJ58" s="39">
        <v>287</v>
      </c>
      <c r="GK58" s="39">
        <v>278</v>
      </c>
      <c r="GL58" s="39">
        <v>228</v>
      </c>
      <c r="GM58" s="39">
        <v>200</v>
      </c>
      <c r="GN58" s="40">
        <v>690</v>
      </c>
    </row>
    <row r="59" spans="1:196" s="59" customFormat="1" ht="15" x14ac:dyDescent="0.25">
      <c r="A59" s="569"/>
      <c r="B59" s="285"/>
      <c r="C59" s="569"/>
      <c r="D59" s="58">
        <f>SUM(D27:D58)</f>
        <v>2541946</v>
      </c>
      <c r="E59" s="58">
        <f t="shared" ref="E59:BP59" si="21">SUM(E27:E58)</f>
        <v>2700886</v>
      </c>
      <c r="F59" s="58">
        <f t="shared" si="21"/>
        <v>5490100</v>
      </c>
      <c r="G59" s="58">
        <f t="shared" si="21"/>
        <v>2668951</v>
      </c>
      <c r="H59" s="58">
        <f t="shared" si="21"/>
        <v>2821149</v>
      </c>
      <c r="I59" s="58">
        <f t="shared" si="21"/>
        <v>2541946</v>
      </c>
      <c r="J59" s="58">
        <f t="shared" si="21"/>
        <v>2700886</v>
      </c>
      <c r="K59" s="58">
        <f t="shared" si="21"/>
        <v>362496</v>
      </c>
      <c r="L59" s="58">
        <f t="shared" si="21"/>
        <v>344579</v>
      </c>
      <c r="M59" s="58">
        <f t="shared" si="21"/>
        <v>2335786</v>
      </c>
      <c r="N59" s="58">
        <f t="shared" si="21"/>
        <v>2505771</v>
      </c>
      <c r="O59" s="58">
        <f t="shared" si="21"/>
        <v>23697</v>
      </c>
      <c r="P59" s="58">
        <f t="shared" si="21"/>
        <v>24983</v>
      </c>
      <c r="Q59" s="58">
        <f t="shared" si="21"/>
        <v>25102</v>
      </c>
      <c r="R59" s="58">
        <f t="shared" si="21"/>
        <v>25785</v>
      </c>
      <c r="S59" s="58">
        <f t="shared" si="21"/>
        <v>27438</v>
      </c>
      <c r="T59" s="58">
        <f t="shared" si="21"/>
        <v>27186</v>
      </c>
      <c r="U59" s="58">
        <f t="shared" si="21"/>
        <v>28046</v>
      </c>
      <c r="V59" s="58">
        <f t="shared" si="21"/>
        <v>29473</v>
      </c>
      <c r="W59" s="58">
        <f t="shared" si="21"/>
        <v>29658</v>
      </c>
      <c r="X59" s="58">
        <f t="shared" si="21"/>
        <v>29975</v>
      </c>
      <c r="Y59" s="58">
        <f t="shared" si="21"/>
        <v>30381</v>
      </c>
      <c r="Z59" s="58">
        <f t="shared" si="21"/>
        <v>31441</v>
      </c>
      <c r="AA59" s="58">
        <f t="shared" si="21"/>
        <v>31600</v>
      </c>
      <c r="AB59" s="58">
        <f t="shared" si="21"/>
        <v>31277</v>
      </c>
      <c r="AC59" s="58">
        <f t="shared" si="21"/>
        <v>31392</v>
      </c>
      <c r="AD59" s="58">
        <f t="shared" si="21"/>
        <v>31378</v>
      </c>
      <c r="AE59" s="58">
        <f t="shared" si="21"/>
        <v>30689</v>
      </c>
      <c r="AF59" s="58">
        <f t="shared" si="21"/>
        <v>30374</v>
      </c>
      <c r="AG59" s="58">
        <f t="shared" si="21"/>
        <v>29447</v>
      </c>
      <c r="AH59" s="58">
        <f t="shared" si="21"/>
        <v>31989</v>
      </c>
      <c r="AI59" s="58">
        <f t="shared" si="21"/>
        <v>33954</v>
      </c>
      <c r="AJ59" s="58">
        <f t="shared" si="21"/>
        <v>33459</v>
      </c>
      <c r="AK59" s="58">
        <f t="shared" si="21"/>
        <v>34364</v>
      </c>
      <c r="AL59" s="58">
        <f t="shared" si="21"/>
        <v>35807</v>
      </c>
      <c r="AM59" s="58">
        <f t="shared" si="21"/>
        <v>34700</v>
      </c>
      <c r="AN59" s="58">
        <f t="shared" si="21"/>
        <v>33839</v>
      </c>
      <c r="AO59" s="58">
        <f t="shared" si="21"/>
        <v>34291</v>
      </c>
      <c r="AP59" s="58">
        <f t="shared" si="21"/>
        <v>33506</v>
      </c>
      <c r="AQ59" s="58">
        <f t="shared" si="21"/>
        <v>33558</v>
      </c>
      <c r="AR59" s="58">
        <f t="shared" si="21"/>
        <v>34083</v>
      </c>
      <c r="AS59" s="58">
        <f t="shared" si="21"/>
        <v>34038</v>
      </c>
      <c r="AT59" s="58">
        <f t="shared" si="21"/>
        <v>35185</v>
      </c>
      <c r="AU59" s="58">
        <f t="shared" si="21"/>
        <v>36258</v>
      </c>
      <c r="AV59" s="58">
        <f t="shared" si="21"/>
        <v>35063</v>
      </c>
      <c r="AW59" s="58">
        <f t="shared" si="21"/>
        <v>35148</v>
      </c>
      <c r="AX59" s="58">
        <f t="shared" si="21"/>
        <v>35887</v>
      </c>
      <c r="AY59" s="58">
        <f t="shared" si="21"/>
        <v>34541</v>
      </c>
      <c r="AZ59" s="58">
        <f t="shared" si="21"/>
        <v>34850</v>
      </c>
      <c r="BA59" s="58">
        <f t="shared" si="21"/>
        <v>34684</v>
      </c>
      <c r="BB59" s="58">
        <f t="shared" si="21"/>
        <v>33926</v>
      </c>
      <c r="BC59" s="58">
        <f t="shared" si="21"/>
        <v>33801</v>
      </c>
      <c r="BD59" s="58">
        <f t="shared" si="21"/>
        <v>33894</v>
      </c>
      <c r="BE59" s="58">
        <f t="shared" si="21"/>
        <v>34401</v>
      </c>
      <c r="BF59" s="58">
        <f t="shared" si="21"/>
        <v>33738</v>
      </c>
      <c r="BG59" s="58">
        <f t="shared" si="21"/>
        <v>33438</v>
      </c>
      <c r="BH59" s="58">
        <f t="shared" si="21"/>
        <v>29822</v>
      </c>
      <c r="BI59" s="58">
        <f t="shared" si="21"/>
        <v>29780</v>
      </c>
      <c r="BJ59" s="58">
        <f t="shared" si="21"/>
        <v>31396</v>
      </c>
      <c r="BK59" s="58">
        <f t="shared" si="21"/>
        <v>31670</v>
      </c>
      <c r="BL59" s="58">
        <f t="shared" si="21"/>
        <v>32572</v>
      </c>
      <c r="BM59" s="58">
        <f t="shared" si="21"/>
        <v>33919</v>
      </c>
      <c r="BN59" s="58">
        <f t="shared" si="21"/>
        <v>35274</v>
      </c>
      <c r="BO59" s="58">
        <f t="shared" si="21"/>
        <v>37067</v>
      </c>
      <c r="BP59" s="58">
        <f t="shared" si="21"/>
        <v>37145</v>
      </c>
      <c r="BQ59" s="58">
        <f t="shared" ref="BQ59:EB59" si="22">SUM(BQ27:BQ58)</f>
        <v>38468</v>
      </c>
      <c r="BR59" s="58">
        <f t="shared" si="22"/>
        <v>38990</v>
      </c>
      <c r="BS59" s="58">
        <f t="shared" si="22"/>
        <v>39457</v>
      </c>
      <c r="BT59" s="58">
        <f t="shared" si="22"/>
        <v>38802</v>
      </c>
      <c r="BU59" s="58">
        <f t="shared" si="22"/>
        <v>40192</v>
      </c>
      <c r="BV59" s="58">
        <f t="shared" si="22"/>
        <v>39580</v>
      </c>
      <c r="BW59" s="58">
        <f t="shared" si="22"/>
        <v>39088</v>
      </c>
      <c r="BX59" s="58">
        <f t="shared" si="22"/>
        <v>37976</v>
      </c>
      <c r="BY59" s="58">
        <f t="shared" si="22"/>
        <v>36600</v>
      </c>
      <c r="BZ59" s="58">
        <f t="shared" si="22"/>
        <v>35954</v>
      </c>
      <c r="CA59" s="58">
        <f t="shared" si="22"/>
        <v>35134</v>
      </c>
      <c r="CB59" s="58">
        <f t="shared" si="22"/>
        <v>34160</v>
      </c>
      <c r="CC59" s="58">
        <f t="shared" si="22"/>
        <v>32503</v>
      </c>
      <c r="CD59" s="58">
        <f t="shared" si="22"/>
        <v>31339</v>
      </c>
      <c r="CE59" s="58">
        <f t="shared" si="22"/>
        <v>29803</v>
      </c>
      <c r="CF59" s="58">
        <f t="shared" si="22"/>
        <v>28870</v>
      </c>
      <c r="CG59" s="58">
        <f t="shared" si="22"/>
        <v>28104</v>
      </c>
      <c r="CH59" s="58">
        <f t="shared" si="22"/>
        <v>26489</v>
      </c>
      <c r="CI59" s="58">
        <f t="shared" si="22"/>
        <v>26217</v>
      </c>
      <c r="CJ59" s="58">
        <f t="shared" si="22"/>
        <v>25626</v>
      </c>
      <c r="CK59" s="58">
        <f t="shared" si="22"/>
        <v>25968</v>
      </c>
      <c r="CL59" s="58">
        <f t="shared" si="22"/>
        <v>25943</v>
      </c>
      <c r="CM59" s="58">
        <f t="shared" si="22"/>
        <v>26961</v>
      </c>
      <c r="CN59" s="58">
        <f t="shared" si="22"/>
        <v>19809</v>
      </c>
      <c r="CO59" s="58">
        <f t="shared" si="22"/>
        <v>17656</v>
      </c>
      <c r="CP59" s="58">
        <f t="shared" si="22"/>
        <v>17402</v>
      </c>
      <c r="CQ59" s="58">
        <f t="shared" si="22"/>
        <v>15702</v>
      </c>
      <c r="CR59" s="58">
        <f t="shared" si="22"/>
        <v>13715</v>
      </c>
      <c r="CS59" s="58">
        <f t="shared" si="22"/>
        <v>11435</v>
      </c>
      <c r="CT59" s="58">
        <f t="shared" si="22"/>
        <v>11049</v>
      </c>
      <c r="CU59" s="58">
        <f t="shared" si="22"/>
        <v>10064</v>
      </c>
      <c r="CV59" s="58">
        <f t="shared" si="22"/>
        <v>9118</v>
      </c>
      <c r="CW59" s="58">
        <f t="shared" si="22"/>
        <v>7745</v>
      </c>
      <c r="CX59" s="58">
        <f t="shared" si="22"/>
        <v>6713</v>
      </c>
      <c r="CY59" s="58">
        <f t="shared" si="22"/>
        <v>5755</v>
      </c>
      <c r="CZ59" s="58">
        <f t="shared" si="22"/>
        <v>4659</v>
      </c>
      <c r="DA59" s="58">
        <f t="shared" si="22"/>
        <v>15536</v>
      </c>
      <c r="DB59" s="58">
        <f t="shared" si="22"/>
        <v>22500</v>
      </c>
      <c r="DC59" s="58">
        <f t="shared" si="22"/>
        <v>23492</v>
      </c>
      <c r="DD59" s="58">
        <f t="shared" si="22"/>
        <v>23858</v>
      </c>
      <c r="DE59" s="58">
        <f t="shared" si="22"/>
        <v>24564</v>
      </c>
      <c r="DF59" s="58">
        <f t="shared" si="22"/>
        <v>25849</v>
      </c>
      <c r="DG59" s="58">
        <f t="shared" si="22"/>
        <v>25726</v>
      </c>
      <c r="DH59" s="58">
        <f t="shared" si="22"/>
        <v>26472</v>
      </c>
      <c r="DI59" s="58">
        <f t="shared" si="22"/>
        <v>27694</v>
      </c>
      <c r="DJ59" s="58">
        <f t="shared" si="22"/>
        <v>28102</v>
      </c>
      <c r="DK59" s="58">
        <f t="shared" si="22"/>
        <v>28366</v>
      </c>
      <c r="DL59" s="58">
        <f t="shared" si="22"/>
        <v>29148</v>
      </c>
      <c r="DM59" s="58">
        <f t="shared" si="22"/>
        <v>29607</v>
      </c>
      <c r="DN59" s="58">
        <f t="shared" si="22"/>
        <v>29964</v>
      </c>
      <c r="DO59" s="58">
        <f t="shared" si="22"/>
        <v>30345</v>
      </c>
      <c r="DP59" s="58">
        <f t="shared" si="22"/>
        <v>29910</v>
      </c>
      <c r="DQ59" s="58">
        <f t="shared" si="22"/>
        <v>30286</v>
      </c>
      <c r="DR59" s="58">
        <f t="shared" si="22"/>
        <v>28959</v>
      </c>
      <c r="DS59" s="58">
        <f t="shared" si="22"/>
        <v>28813</v>
      </c>
      <c r="DT59" s="58">
        <f t="shared" si="22"/>
        <v>27895</v>
      </c>
      <c r="DU59" s="58">
        <f t="shared" si="22"/>
        <v>31172</v>
      </c>
      <c r="DV59" s="58">
        <f t="shared" si="22"/>
        <v>33966</v>
      </c>
      <c r="DW59" s="58">
        <f t="shared" si="22"/>
        <v>34004</v>
      </c>
      <c r="DX59" s="58">
        <f t="shared" si="22"/>
        <v>34645</v>
      </c>
      <c r="DY59" s="58">
        <f t="shared" si="22"/>
        <v>36571</v>
      </c>
      <c r="DZ59" s="58">
        <f t="shared" si="22"/>
        <v>35745</v>
      </c>
      <c r="EA59" s="58">
        <f t="shared" si="22"/>
        <v>34503</v>
      </c>
      <c r="EB59" s="58">
        <f t="shared" si="22"/>
        <v>35084</v>
      </c>
      <c r="EC59" s="58">
        <f t="shared" ref="EC59:GN59" si="23">SUM(EC27:EC58)</f>
        <v>34526</v>
      </c>
      <c r="ED59" s="58">
        <f t="shared" si="23"/>
        <v>34233</v>
      </c>
      <c r="EE59" s="58">
        <f t="shared" si="23"/>
        <v>35626</v>
      </c>
      <c r="EF59" s="58">
        <f t="shared" si="23"/>
        <v>36272</v>
      </c>
      <c r="EG59" s="58">
        <f t="shared" si="23"/>
        <v>37397</v>
      </c>
      <c r="EH59" s="58">
        <f t="shared" si="23"/>
        <v>37863</v>
      </c>
      <c r="EI59" s="58">
        <f t="shared" si="23"/>
        <v>36872</v>
      </c>
      <c r="EJ59" s="58">
        <f t="shared" si="23"/>
        <v>36894</v>
      </c>
      <c r="EK59" s="58">
        <f t="shared" si="23"/>
        <v>37731</v>
      </c>
      <c r="EL59" s="58">
        <f t="shared" si="23"/>
        <v>36304</v>
      </c>
      <c r="EM59" s="58">
        <f t="shared" si="23"/>
        <v>36557</v>
      </c>
      <c r="EN59" s="58">
        <f t="shared" si="23"/>
        <v>36947</v>
      </c>
      <c r="EO59" s="58">
        <f t="shared" si="23"/>
        <v>35692</v>
      </c>
      <c r="EP59" s="58">
        <f t="shared" si="23"/>
        <v>36156</v>
      </c>
      <c r="EQ59" s="58">
        <f t="shared" si="23"/>
        <v>36072</v>
      </c>
      <c r="ER59" s="58">
        <f t="shared" si="23"/>
        <v>36335</v>
      </c>
      <c r="ES59" s="58">
        <f t="shared" si="23"/>
        <v>35125</v>
      </c>
      <c r="ET59" s="58">
        <f t="shared" si="23"/>
        <v>34160</v>
      </c>
      <c r="EU59" s="58">
        <f t="shared" si="23"/>
        <v>32168</v>
      </c>
      <c r="EV59" s="58">
        <f t="shared" si="23"/>
        <v>31282</v>
      </c>
      <c r="EW59" s="58">
        <f t="shared" si="23"/>
        <v>33145</v>
      </c>
      <c r="EX59" s="58">
        <f t="shared" si="23"/>
        <v>33516</v>
      </c>
      <c r="EY59" s="58">
        <f t="shared" si="23"/>
        <v>34110</v>
      </c>
      <c r="EZ59" s="58">
        <f t="shared" si="23"/>
        <v>35928</v>
      </c>
      <c r="FA59" s="58">
        <f t="shared" si="23"/>
        <v>38323</v>
      </c>
      <c r="FB59" s="58">
        <f t="shared" si="23"/>
        <v>40086</v>
      </c>
      <c r="FC59" s="58">
        <f t="shared" si="23"/>
        <v>39803</v>
      </c>
      <c r="FD59" s="58">
        <f t="shared" si="23"/>
        <v>40952</v>
      </c>
      <c r="FE59" s="58">
        <f t="shared" si="23"/>
        <v>41706</v>
      </c>
      <c r="FF59" s="58">
        <f t="shared" si="23"/>
        <v>41340</v>
      </c>
      <c r="FG59" s="58">
        <f t="shared" si="23"/>
        <v>41476</v>
      </c>
      <c r="FH59" s="58">
        <f t="shared" si="23"/>
        <v>42681</v>
      </c>
      <c r="FI59" s="58">
        <f t="shared" si="23"/>
        <v>42532</v>
      </c>
      <c r="FJ59" s="58">
        <f t="shared" si="23"/>
        <v>41824</v>
      </c>
      <c r="FK59" s="58">
        <f t="shared" si="23"/>
        <v>40002</v>
      </c>
      <c r="FL59" s="58">
        <f t="shared" si="23"/>
        <v>38935</v>
      </c>
      <c r="FM59" s="58">
        <f t="shared" si="23"/>
        <v>37965</v>
      </c>
      <c r="FN59" s="58">
        <f t="shared" si="23"/>
        <v>37353</v>
      </c>
      <c r="FO59" s="58">
        <f t="shared" si="23"/>
        <v>36673</v>
      </c>
      <c r="FP59" s="58">
        <f t="shared" si="23"/>
        <v>34695</v>
      </c>
      <c r="FQ59" s="58">
        <f t="shared" si="23"/>
        <v>33689</v>
      </c>
      <c r="FR59" s="58">
        <f t="shared" si="23"/>
        <v>32368</v>
      </c>
      <c r="FS59" s="58">
        <f t="shared" si="23"/>
        <v>31220</v>
      </c>
      <c r="FT59" s="58">
        <f t="shared" si="23"/>
        <v>30435</v>
      </c>
      <c r="FU59" s="58">
        <f t="shared" si="23"/>
        <v>28968</v>
      </c>
      <c r="FV59" s="58">
        <f t="shared" si="23"/>
        <v>28982</v>
      </c>
      <c r="FW59" s="58">
        <f t="shared" si="23"/>
        <v>28509</v>
      </c>
      <c r="FX59" s="58">
        <f t="shared" si="23"/>
        <v>29030</v>
      </c>
      <c r="FY59" s="58">
        <f t="shared" si="23"/>
        <v>29381</v>
      </c>
      <c r="FZ59" s="58">
        <f t="shared" si="23"/>
        <v>31124</v>
      </c>
      <c r="GA59" s="58">
        <f t="shared" si="23"/>
        <v>22886</v>
      </c>
      <c r="GB59" s="58">
        <f t="shared" si="23"/>
        <v>21486</v>
      </c>
      <c r="GC59" s="58">
        <f t="shared" si="23"/>
        <v>21176</v>
      </c>
      <c r="GD59" s="58">
        <f t="shared" si="23"/>
        <v>20180</v>
      </c>
      <c r="GE59" s="58">
        <f t="shared" si="23"/>
        <v>18037</v>
      </c>
      <c r="GF59" s="58">
        <f t="shared" si="23"/>
        <v>15775</v>
      </c>
      <c r="GG59" s="58">
        <f t="shared" si="23"/>
        <v>15630</v>
      </c>
      <c r="GH59" s="58">
        <f t="shared" si="23"/>
        <v>14472</v>
      </c>
      <c r="GI59" s="58">
        <f t="shared" si="23"/>
        <v>13254</v>
      </c>
      <c r="GJ59" s="58">
        <f t="shared" si="23"/>
        <v>11706</v>
      </c>
      <c r="GK59" s="58">
        <f t="shared" si="23"/>
        <v>10758</v>
      </c>
      <c r="GL59" s="58">
        <f t="shared" si="23"/>
        <v>9409</v>
      </c>
      <c r="GM59" s="58">
        <f t="shared" si="23"/>
        <v>8166</v>
      </c>
      <c r="GN59" s="58">
        <f t="shared" si="23"/>
        <v>30011</v>
      </c>
    </row>
    <row r="60" spans="1:196" s="1" customFormat="1" x14ac:dyDescent="0.2">
      <c r="A60" s="573" t="s">
        <v>1038</v>
      </c>
      <c r="B60" s="574" t="s">
        <v>1027</v>
      </c>
      <c r="C60" s="575" t="str">
        <f t="shared" ref="C60:C73" si="24">CONCATENATE(A60," - ",B60)</f>
        <v>Health Board - Ayrshire and Arran</v>
      </c>
      <c r="D60" s="571">
        <f t="shared" ref="D60:E65" si="25">I60</f>
        <v>168261</v>
      </c>
      <c r="E60" s="571">
        <f t="shared" si="25"/>
        <v>182567</v>
      </c>
      <c r="F60" s="576">
        <f t="shared" ref="F60:F65" si="26">G60+H60</f>
        <v>366150</v>
      </c>
      <c r="G60" s="567">
        <f t="shared" ref="G60:G65" si="27">SUM(O60:DA60)</f>
        <v>176026</v>
      </c>
      <c r="H60" s="568">
        <f t="shared" ref="H60:H65" si="28">SUM(DB60:GN60)</f>
        <v>190124</v>
      </c>
      <c r="I60" s="390">
        <f t="shared" ref="I60:I73" si="29">SUM(T60:DA60)</f>
        <v>168261</v>
      </c>
      <c r="J60" s="390">
        <f t="shared" ref="J60:J73" si="30">SUM(DG60:GN60)</f>
        <v>182567</v>
      </c>
      <c r="K60" s="38">
        <f t="shared" ref="K60:K73" si="31">SUM(T60:AE60)</f>
        <v>24096</v>
      </c>
      <c r="L60" s="38">
        <f t="shared" ref="L60:L73" si="32">SUM(DG60:DR60)</f>
        <v>22716</v>
      </c>
      <c r="M60" s="38">
        <f t="shared" ref="M60:M73" si="33">SUM(AA60:DA60)</f>
        <v>154690</v>
      </c>
      <c r="N60" s="38">
        <f t="shared" ref="N60:N73" si="34">SUM(DN60:GN60)</f>
        <v>169856</v>
      </c>
      <c r="O60" s="572">
        <v>1443</v>
      </c>
      <c r="P60" s="572">
        <v>1476</v>
      </c>
      <c r="Q60" s="572">
        <v>1537</v>
      </c>
      <c r="R60" s="572">
        <v>1610</v>
      </c>
      <c r="S60" s="572">
        <v>1699</v>
      </c>
      <c r="T60" s="572">
        <v>1765</v>
      </c>
      <c r="U60" s="572">
        <v>1742</v>
      </c>
      <c r="V60" s="572">
        <v>1967</v>
      </c>
      <c r="W60" s="572">
        <v>2044</v>
      </c>
      <c r="X60" s="572">
        <v>1897</v>
      </c>
      <c r="Y60" s="572">
        <v>1992</v>
      </c>
      <c r="Z60" s="572">
        <v>2164</v>
      </c>
      <c r="AA60" s="572">
        <v>2142</v>
      </c>
      <c r="AB60" s="572">
        <v>2054</v>
      </c>
      <c r="AC60" s="572">
        <v>2153</v>
      </c>
      <c r="AD60" s="572">
        <v>2132</v>
      </c>
      <c r="AE60" s="572">
        <v>2044</v>
      </c>
      <c r="AF60" s="572">
        <v>2065</v>
      </c>
      <c r="AG60" s="572">
        <v>1965</v>
      </c>
      <c r="AH60" s="572">
        <v>1884</v>
      </c>
      <c r="AI60" s="572">
        <v>1797</v>
      </c>
      <c r="AJ60" s="572">
        <v>1726</v>
      </c>
      <c r="AK60" s="572">
        <v>1863</v>
      </c>
      <c r="AL60" s="572">
        <v>1842</v>
      </c>
      <c r="AM60" s="572">
        <v>1731</v>
      </c>
      <c r="AN60" s="572">
        <v>1801</v>
      </c>
      <c r="AO60" s="572">
        <v>1839</v>
      </c>
      <c r="AP60" s="572">
        <v>1714</v>
      </c>
      <c r="AQ60" s="572">
        <v>1814</v>
      </c>
      <c r="AR60" s="572">
        <v>1825</v>
      </c>
      <c r="AS60" s="572">
        <v>1851</v>
      </c>
      <c r="AT60" s="572">
        <v>1939</v>
      </c>
      <c r="AU60" s="572">
        <v>1960</v>
      </c>
      <c r="AV60" s="572">
        <v>1978</v>
      </c>
      <c r="AW60" s="572">
        <v>1980</v>
      </c>
      <c r="AX60" s="572">
        <v>1938</v>
      </c>
      <c r="AY60" s="572">
        <v>1940</v>
      </c>
      <c r="AZ60" s="572">
        <v>1927</v>
      </c>
      <c r="BA60" s="572">
        <v>1960</v>
      </c>
      <c r="BB60" s="572">
        <v>1961</v>
      </c>
      <c r="BC60" s="572">
        <v>1973</v>
      </c>
      <c r="BD60" s="572">
        <v>2033</v>
      </c>
      <c r="BE60" s="572">
        <v>2073</v>
      </c>
      <c r="BF60" s="572">
        <v>1939</v>
      </c>
      <c r="BG60" s="572">
        <v>2040</v>
      </c>
      <c r="BH60" s="572">
        <v>1855</v>
      </c>
      <c r="BI60" s="572">
        <v>1803</v>
      </c>
      <c r="BJ60" s="572">
        <v>1963</v>
      </c>
      <c r="BK60" s="572">
        <v>2030</v>
      </c>
      <c r="BL60" s="572">
        <v>2227</v>
      </c>
      <c r="BM60" s="572">
        <v>2277</v>
      </c>
      <c r="BN60" s="572">
        <v>2425</v>
      </c>
      <c r="BO60" s="572">
        <v>2497</v>
      </c>
      <c r="BP60" s="572">
        <v>2595</v>
      </c>
      <c r="BQ60" s="572">
        <v>2739</v>
      </c>
      <c r="BR60" s="572">
        <v>2732</v>
      </c>
      <c r="BS60" s="572">
        <v>2815</v>
      </c>
      <c r="BT60" s="572">
        <v>2796</v>
      </c>
      <c r="BU60" s="572">
        <v>2995</v>
      </c>
      <c r="BV60" s="572">
        <v>2901</v>
      </c>
      <c r="BW60" s="572">
        <v>2729</v>
      </c>
      <c r="BX60" s="572">
        <v>2875</v>
      </c>
      <c r="BY60" s="572">
        <v>2695</v>
      </c>
      <c r="BZ60" s="572">
        <v>2603</v>
      </c>
      <c r="CA60" s="572">
        <v>2747</v>
      </c>
      <c r="CB60" s="572">
        <v>2575</v>
      </c>
      <c r="CC60" s="572">
        <v>2508</v>
      </c>
      <c r="CD60" s="572">
        <v>2451</v>
      </c>
      <c r="CE60" s="572">
        <v>2340</v>
      </c>
      <c r="CF60" s="572">
        <v>2247</v>
      </c>
      <c r="CG60" s="572">
        <v>2279</v>
      </c>
      <c r="CH60" s="572">
        <v>2123</v>
      </c>
      <c r="CI60" s="572">
        <v>2093</v>
      </c>
      <c r="CJ60" s="572">
        <v>2080</v>
      </c>
      <c r="CK60" s="572">
        <v>2106</v>
      </c>
      <c r="CL60" s="572">
        <v>2134</v>
      </c>
      <c r="CM60" s="572">
        <v>2193</v>
      </c>
      <c r="CN60" s="572">
        <v>1605</v>
      </c>
      <c r="CO60" s="572">
        <v>1489</v>
      </c>
      <c r="CP60" s="572">
        <v>1504</v>
      </c>
      <c r="CQ60" s="572">
        <v>1303</v>
      </c>
      <c r="CR60" s="572">
        <v>1034</v>
      </c>
      <c r="CS60" s="572">
        <v>928</v>
      </c>
      <c r="CT60" s="572">
        <v>891</v>
      </c>
      <c r="CU60" s="572">
        <v>831</v>
      </c>
      <c r="CV60" s="572">
        <v>699</v>
      </c>
      <c r="CW60" s="572">
        <v>630</v>
      </c>
      <c r="CX60" s="572">
        <v>511</v>
      </c>
      <c r="CY60" s="572">
        <v>429</v>
      </c>
      <c r="CZ60" s="572">
        <v>336</v>
      </c>
      <c r="DA60" s="566">
        <v>1189</v>
      </c>
      <c r="DB60" s="577">
        <v>1360</v>
      </c>
      <c r="DC60" s="572">
        <v>1468</v>
      </c>
      <c r="DD60" s="572">
        <v>1481</v>
      </c>
      <c r="DE60" s="572">
        <v>1616</v>
      </c>
      <c r="DF60" s="572">
        <v>1632</v>
      </c>
      <c r="DG60" s="572">
        <v>1640</v>
      </c>
      <c r="DH60" s="572">
        <v>1686</v>
      </c>
      <c r="DI60" s="572">
        <v>1819</v>
      </c>
      <c r="DJ60" s="572">
        <v>1841</v>
      </c>
      <c r="DK60" s="572">
        <v>1865</v>
      </c>
      <c r="DL60" s="572">
        <v>1811</v>
      </c>
      <c r="DM60" s="572">
        <v>2049</v>
      </c>
      <c r="DN60" s="572">
        <v>2076</v>
      </c>
      <c r="DO60" s="572">
        <v>1981</v>
      </c>
      <c r="DP60" s="572">
        <v>2035</v>
      </c>
      <c r="DQ60" s="572">
        <v>1978</v>
      </c>
      <c r="DR60" s="572">
        <v>1935</v>
      </c>
      <c r="DS60" s="572">
        <v>2043</v>
      </c>
      <c r="DT60" s="572">
        <v>1848</v>
      </c>
      <c r="DU60" s="572">
        <v>1644</v>
      </c>
      <c r="DV60" s="572">
        <v>1594</v>
      </c>
      <c r="DW60" s="572">
        <v>1634</v>
      </c>
      <c r="DX60" s="572">
        <v>1709</v>
      </c>
      <c r="DY60" s="572">
        <v>1822</v>
      </c>
      <c r="DZ60" s="572">
        <v>1786</v>
      </c>
      <c r="EA60" s="572">
        <v>1760</v>
      </c>
      <c r="EB60" s="572">
        <v>1827</v>
      </c>
      <c r="EC60" s="572">
        <v>1836</v>
      </c>
      <c r="ED60" s="572">
        <v>1851</v>
      </c>
      <c r="EE60" s="572">
        <v>2050</v>
      </c>
      <c r="EF60" s="572">
        <v>1966</v>
      </c>
      <c r="EG60" s="572">
        <v>2157</v>
      </c>
      <c r="EH60" s="572">
        <v>2172</v>
      </c>
      <c r="EI60" s="572">
        <v>2181</v>
      </c>
      <c r="EJ60" s="572">
        <v>2159</v>
      </c>
      <c r="EK60" s="572">
        <v>2269</v>
      </c>
      <c r="EL60" s="572">
        <v>2135</v>
      </c>
      <c r="EM60" s="572">
        <v>2195</v>
      </c>
      <c r="EN60" s="572">
        <v>2194</v>
      </c>
      <c r="EO60" s="572">
        <v>2149</v>
      </c>
      <c r="EP60" s="572">
        <v>2151</v>
      </c>
      <c r="EQ60" s="572">
        <v>2289</v>
      </c>
      <c r="ER60" s="572">
        <v>2323</v>
      </c>
      <c r="ES60" s="572">
        <v>2161</v>
      </c>
      <c r="ET60" s="572">
        <v>2059</v>
      </c>
      <c r="EU60" s="572">
        <v>2083</v>
      </c>
      <c r="EV60" s="572">
        <v>1986</v>
      </c>
      <c r="EW60" s="572">
        <v>2233</v>
      </c>
      <c r="EX60" s="572">
        <v>2376</v>
      </c>
      <c r="EY60" s="572">
        <v>2313</v>
      </c>
      <c r="EZ60" s="572">
        <v>2440</v>
      </c>
      <c r="FA60" s="572">
        <v>2842</v>
      </c>
      <c r="FB60" s="572">
        <v>2881</v>
      </c>
      <c r="FC60" s="572">
        <v>2865</v>
      </c>
      <c r="FD60" s="572">
        <v>2873</v>
      </c>
      <c r="FE60" s="572">
        <v>3066</v>
      </c>
      <c r="FF60" s="572">
        <v>3112</v>
      </c>
      <c r="FG60" s="572">
        <v>3088</v>
      </c>
      <c r="FH60" s="572">
        <v>3241</v>
      </c>
      <c r="FI60" s="572">
        <v>3172</v>
      </c>
      <c r="FJ60" s="572">
        <v>3210</v>
      </c>
      <c r="FK60" s="572">
        <v>2961</v>
      </c>
      <c r="FL60" s="572">
        <v>2960</v>
      </c>
      <c r="FM60" s="572">
        <v>2911</v>
      </c>
      <c r="FN60" s="572">
        <v>2891</v>
      </c>
      <c r="FO60" s="572">
        <v>2924</v>
      </c>
      <c r="FP60" s="572">
        <v>2726</v>
      </c>
      <c r="FQ60" s="572">
        <v>2666</v>
      </c>
      <c r="FR60" s="572">
        <v>2526</v>
      </c>
      <c r="FS60" s="572">
        <v>2524</v>
      </c>
      <c r="FT60" s="572">
        <v>2518</v>
      </c>
      <c r="FU60" s="572">
        <v>2354</v>
      </c>
      <c r="FV60" s="572">
        <v>2313</v>
      </c>
      <c r="FW60" s="572">
        <v>2249</v>
      </c>
      <c r="FX60" s="572">
        <v>2370</v>
      </c>
      <c r="FY60" s="572">
        <v>2413</v>
      </c>
      <c r="FZ60" s="572">
        <v>2556</v>
      </c>
      <c r="GA60" s="572">
        <v>1881</v>
      </c>
      <c r="GB60" s="572">
        <v>1779</v>
      </c>
      <c r="GC60" s="572">
        <v>1699</v>
      </c>
      <c r="GD60" s="572">
        <v>1651</v>
      </c>
      <c r="GE60" s="572">
        <v>1511</v>
      </c>
      <c r="GF60" s="572">
        <v>1252</v>
      </c>
      <c r="GG60" s="572">
        <v>1258</v>
      </c>
      <c r="GH60" s="572">
        <v>1047</v>
      </c>
      <c r="GI60" s="572">
        <v>1030</v>
      </c>
      <c r="GJ60" s="572">
        <v>883</v>
      </c>
      <c r="GK60" s="572">
        <v>781</v>
      </c>
      <c r="GL60" s="572">
        <v>687</v>
      </c>
      <c r="GM60" s="572">
        <v>610</v>
      </c>
      <c r="GN60" s="566">
        <v>2175</v>
      </c>
    </row>
    <row r="61" spans="1:196" s="1" customFormat="1" x14ac:dyDescent="0.2">
      <c r="A61" s="56" t="s">
        <v>1038</v>
      </c>
      <c r="B61" s="286" t="s">
        <v>1028</v>
      </c>
      <c r="C61" s="67" t="str">
        <f t="shared" si="24"/>
        <v>Health Board - Borders</v>
      </c>
      <c r="D61" s="38">
        <f t="shared" si="25"/>
        <v>54159</v>
      </c>
      <c r="E61" s="38">
        <f t="shared" si="25"/>
        <v>57885</v>
      </c>
      <c r="F61" s="54">
        <f t="shared" si="26"/>
        <v>116630</v>
      </c>
      <c r="G61" s="33">
        <f t="shared" si="27"/>
        <v>56607</v>
      </c>
      <c r="H61" s="34">
        <f t="shared" si="28"/>
        <v>60023</v>
      </c>
      <c r="I61" s="390">
        <f t="shared" si="29"/>
        <v>54159</v>
      </c>
      <c r="J61" s="390">
        <f t="shared" si="30"/>
        <v>57885</v>
      </c>
      <c r="K61" s="38">
        <f t="shared" si="31"/>
        <v>7363</v>
      </c>
      <c r="L61" s="38">
        <f t="shared" si="32"/>
        <v>7224</v>
      </c>
      <c r="M61" s="38">
        <f t="shared" si="33"/>
        <v>50060</v>
      </c>
      <c r="N61" s="38">
        <f t="shared" si="34"/>
        <v>53883</v>
      </c>
      <c r="O61" s="31">
        <v>438</v>
      </c>
      <c r="P61" s="31">
        <v>434</v>
      </c>
      <c r="Q61" s="31">
        <v>474</v>
      </c>
      <c r="R61" s="31">
        <v>551</v>
      </c>
      <c r="S61" s="31">
        <v>551</v>
      </c>
      <c r="T61" s="31">
        <v>563</v>
      </c>
      <c r="U61" s="31">
        <v>547</v>
      </c>
      <c r="V61" s="31">
        <v>576</v>
      </c>
      <c r="W61" s="31">
        <v>542</v>
      </c>
      <c r="X61" s="31">
        <v>636</v>
      </c>
      <c r="Y61" s="31">
        <v>617</v>
      </c>
      <c r="Z61" s="31">
        <v>618</v>
      </c>
      <c r="AA61" s="31">
        <v>704</v>
      </c>
      <c r="AB61" s="31">
        <v>623</v>
      </c>
      <c r="AC61" s="31">
        <v>668</v>
      </c>
      <c r="AD61" s="31">
        <v>638</v>
      </c>
      <c r="AE61" s="31">
        <v>631</v>
      </c>
      <c r="AF61" s="31">
        <v>686</v>
      </c>
      <c r="AG61" s="31">
        <v>647</v>
      </c>
      <c r="AH61" s="31">
        <v>559</v>
      </c>
      <c r="AI61" s="31">
        <v>498</v>
      </c>
      <c r="AJ61" s="31">
        <v>532</v>
      </c>
      <c r="AK61" s="31">
        <v>482</v>
      </c>
      <c r="AL61" s="31">
        <v>470</v>
      </c>
      <c r="AM61" s="31">
        <v>480</v>
      </c>
      <c r="AN61" s="31">
        <v>483</v>
      </c>
      <c r="AO61" s="31">
        <v>489</v>
      </c>
      <c r="AP61" s="31">
        <v>525</v>
      </c>
      <c r="AQ61" s="31">
        <v>535</v>
      </c>
      <c r="AR61" s="31">
        <v>471</v>
      </c>
      <c r="AS61" s="31">
        <v>563</v>
      </c>
      <c r="AT61" s="31">
        <v>479</v>
      </c>
      <c r="AU61" s="31">
        <v>571</v>
      </c>
      <c r="AV61" s="31">
        <v>538</v>
      </c>
      <c r="AW61" s="31">
        <v>545</v>
      </c>
      <c r="AX61" s="31">
        <v>578</v>
      </c>
      <c r="AY61" s="31">
        <v>497</v>
      </c>
      <c r="AZ61" s="31">
        <v>581</v>
      </c>
      <c r="BA61" s="31">
        <v>534</v>
      </c>
      <c r="BB61" s="31">
        <v>588</v>
      </c>
      <c r="BC61" s="31">
        <v>626</v>
      </c>
      <c r="BD61" s="31">
        <v>588</v>
      </c>
      <c r="BE61" s="31">
        <v>609</v>
      </c>
      <c r="BF61" s="31">
        <v>637</v>
      </c>
      <c r="BG61" s="31">
        <v>655</v>
      </c>
      <c r="BH61" s="31">
        <v>534</v>
      </c>
      <c r="BI61" s="31">
        <v>567</v>
      </c>
      <c r="BJ61" s="31">
        <v>584</v>
      </c>
      <c r="BK61" s="31">
        <v>642</v>
      </c>
      <c r="BL61" s="31">
        <v>661</v>
      </c>
      <c r="BM61" s="31">
        <v>719</v>
      </c>
      <c r="BN61" s="31">
        <v>802</v>
      </c>
      <c r="BO61" s="31">
        <v>828</v>
      </c>
      <c r="BP61" s="31">
        <v>854</v>
      </c>
      <c r="BQ61" s="31">
        <v>891</v>
      </c>
      <c r="BR61" s="31">
        <v>958</v>
      </c>
      <c r="BS61" s="31">
        <v>940</v>
      </c>
      <c r="BT61" s="31">
        <v>946</v>
      </c>
      <c r="BU61" s="31">
        <v>988</v>
      </c>
      <c r="BV61" s="31">
        <v>945</v>
      </c>
      <c r="BW61" s="31">
        <v>1015</v>
      </c>
      <c r="BX61" s="31">
        <v>963</v>
      </c>
      <c r="BY61" s="31">
        <v>908</v>
      </c>
      <c r="BZ61" s="31">
        <v>908</v>
      </c>
      <c r="CA61" s="31">
        <v>909</v>
      </c>
      <c r="CB61" s="31">
        <v>889</v>
      </c>
      <c r="CC61" s="31">
        <v>879</v>
      </c>
      <c r="CD61" s="31">
        <v>808</v>
      </c>
      <c r="CE61" s="31">
        <v>879</v>
      </c>
      <c r="CF61" s="31">
        <v>805</v>
      </c>
      <c r="CG61" s="31">
        <v>787</v>
      </c>
      <c r="CH61" s="31">
        <v>758</v>
      </c>
      <c r="CI61" s="31">
        <v>764</v>
      </c>
      <c r="CJ61" s="31">
        <v>736</v>
      </c>
      <c r="CK61" s="31">
        <v>747</v>
      </c>
      <c r="CL61" s="31">
        <v>790</v>
      </c>
      <c r="CM61" s="31">
        <v>806</v>
      </c>
      <c r="CN61" s="31">
        <v>610</v>
      </c>
      <c r="CO61" s="31">
        <v>554</v>
      </c>
      <c r="CP61" s="31">
        <v>532</v>
      </c>
      <c r="CQ61" s="31">
        <v>504</v>
      </c>
      <c r="CR61" s="31">
        <v>412</v>
      </c>
      <c r="CS61" s="31">
        <v>338</v>
      </c>
      <c r="CT61" s="31">
        <v>343</v>
      </c>
      <c r="CU61" s="31">
        <v>326</v>
      </c>
      <c r="CV61" s="31">
        <v>282</v>
      </c>
      <c r="CW61" s="31">
        <v>217</v>
      </c>
      <c r="CX61" s="31">
        <v>197</v>
      </c>
      <c r="CY61" s="31">
        <v>174</v>
      </c>
      <c r="CZ61" s="31">
        <v>155</v>
      </c>
      <c r="DA61" s="32">
        <v>496</v>
      </c>
      <c r="DB61" s="55">
        <v>381</v>
      </c>
      <c r="DC61" s="31">
        <v>398</v>
      </c>
      <c r="DD61" s="31">
        <v>443</v>
      </c>
      <c r="DE61" s="31">
        <v>439</v>
      </c>
      <c r="DF61" s="31">
        <v>477</v>
      </c>
      <c r="DG61" s="31">
        <v>456</v>
      </c>
      <c r="DH61" s="31">
        <v>551</v>
      </c>
      <c r="DI61" s="31">
        <v>601</v>
      </c>
      <c r="DJ61" s="31">
        <v>570</v>
      </c>
      <c r="DK61" s="31">
        <v>616</v>
      </c>
      <c r="DL61" s="31">
        <v>613</v>
      </c>
      <c r="DM61" s="31">
        <v>595</v>
      </c>
      <c r="DN61" s="31">
        <v>611</v>
      </c>
      <c r="DO61" s="31">
        <v>631</v>
      </c>
      <c r="DP61" s="31">
        <v>658</v>
      </c>
      <c r="DQ61" s="31">
        <v>680</v>
      </c>
      <c r="DR61" s="31">
        <v>642</v>
      </c>
      <c r="DS61" s="31">
        <v>586</v>
      </c>
      <c r="DT61" s="31">
        <v>580</v>
      </c>
      <c r="DU61" s="31">
        <v>477</v>
      </c>
      <c r="DV61" s="31">
        <v>409</v>
      </c>
      <c r="DW61" s="31">
        <v>476</v>
      </c>
      <c r="DX61" s="31">
        <v>446</v>
      </c>
      <c r="DY61" s="31">
        <v>527</v>
      </c>
      <c r="DZ61" s="31">
        <v>460</v>
      </c>
      <c r="EA61" s="31">
        <v>449</v>
      </c>
      <c r="EB61" s="31">
        <v>507</v>
      </c>
      <c r="EC61" s="31">
        <v>535</v>
      </c>
      <c r="ED61" s="31">
        <v>510</v>
      </c>
      <c r="EE61" s="31">
        <v>486</v>
      </c>
      <c r="EF61" s="31">
        <v>606</v>
      </c>
      <c r="EG61" s="31">
        <v>546</v>
      </c>
      <c r="EH61" s="31">
        <v>664</v>
      </c>
      <c r="EI61" s="31">
        <v>607</v>
      </c>
      <c r="EJ61" s="31">
        <v>615</v>
      </c>
      <c r="EK61" s="31">
        <v>574</v>
      </c>
      <c r="EL61" s="31">
        <v>613</v>
      </c>
      <c r="EM61" s="31">
        <v>642</v>
      </c>
      <c r="EN61" s="31">
        <v>637</v>
      </c>
      <c r="EO61" s="31">
        <v>650</v>
      </c>
      <c r="EP61" s="31">
        <v>709</v>
      </c>
      <c r="EQ61" s="31">
        <v>684</v>
      </c>
      <c r="ER61" s="31">
        <v>670</v>
      </c>
      <c r="ES61" s="31">
        <v>645</v>
      </c>
      <c r="ET61" s="31">
        <v>627</v>
      </c>
      <c r="EU61" s="31">
        <v>576</v>
      </c>
      <c r="EV61" s="31">
        <v>608</v>
      </c>
      <c r="EW61" s="31">
        <v>692</v>
      </c>
      <c r="EX61" s="31">
        <v>775</v>
      </c>
      <c r="EY61" s="31">
        <v>807</v>
      </c>
      <c r="EZ61" s="31">
        <v>802</v>
      </c>
      <c r="FA61" s="31">
        <v>903</v>
      </c>
      <c r="FB61" s="31">
        <v>933</v>
      </c>
      <c r="FC61" s="31">
        <v>908</v>
      </c>
      <c r="FD61" s="31">
        <v>1007</v>
      </c>
      <c r="FE61" s="31">
        <v>1005</v>
      </c>
      <c r="FF61" s="31">
        <v>1037</v>
      </c>
      <c r="FG61" s="31">
        <v>1065</v>
      </c>
      <c r="FH61" s="31">
        <v>1035</v>
      </c>
      <c r="FI61" s="31">
        <v>1023</v>
      </c>
      <c r="FJ61" s="31">
        <v>1025</v>
      </c>
      <c r="FK61" s="31">
        <v>972</v>
      </c>
      <c r="FL61" s="31">
        <v>920</v>
      </c>
      <c r="FM61" s="31">
        <v>985</v>
      </c>
      <c r="FN61" s="31">
        <v>975</v>
      </c>
      <c r="FO61" s="31">
        <v>963</v>
      </c>
      <c r="FP61" s="31">
        <v>949</v>
      </c>
      <c r="FQ61" s="31">
        <v>858</v>
      </c>
      <c r="FR61" s="31">
        <v>856</v>
      </c>
      <c r="FS61" s="31">
        <v>827</v>
      </c>
      <c r="FT61" s="31">
        <v>809</v>
      </c>
      <c r="FU61" s="31">
        <v>780</v>
      </c>
      <c r="FV61" s="31">
        <v>783</v>
      </c>
      <c r="FW61" s="31">
        <v>808</v>
      </c>
      <c r="FX61" s="31">
        <v>815</v>
      </c>
      <c r="FY61" s="31">
        <v>800</v>
      </c>
      <c r="FZ61" s="31">
        <v>910</v>
      </c>
      <c r="GA61" s="31">
        <v>650</v>
      </c>
      <c r="GB61" s="31">
        <v>601</v>
      </c>
      <c r="GC61" s="31">
        <v>594</v>
      </c>
      <c r="GD61" s="31">
        <v>561</v>
      </c>
      <c r="GE61" s="31">
        <v>492</v>
      </c>
      <c r="GF61" s="31">
        <v>437</v>
      </c>
      <c r="GG61" s="31">
        <v>485</v>
      </c>
      <c r="GH61" s="31">
        <v>414</v>
      </c>
      <c r="GI61" s="31">
        <v>343</v>
      </c>
      <c r="GJ61" s="31">
        <v>320</v>
      </c>
      <c r="GK61" s="31">
        <v>268</v>
      </c>
      <c r="GL61" s="31">
        <v>246</v>
      </c>
      <c r="GM61" s="31">
        <v>232</v>
      </c>
      <c r="GN61" s="32">
        <v>870</v>
      </c>
    </row>
    <row r="62" spans="1:196" s="1" customFormat="1" x14ac:dyDescent="0.2">
      <c r="A62" s="56" t="s">
        <v>1038</v>
      </c>
      <c r="B62" s="286" t="s">
        <v>1000</v>
      </c>
      <c r="C62" s="67" t="str">
        <f t="shared" si="24"/>
        <v>Health Board - Dumfries and Galloway</v>
      </c>
      <c r="D62" s="38">
        <f t="shared" si="25"/>
        <v>67503</v>
      </c>
      <c r="E62" s="38">
        <f t="shared" si="25"/>
        <v>72366</v>
      </c>
      <c r="F62" s="54">
        <f t="shared" si="26"/>
        <v>145670</v>
      </c>
      <c r="G62" s="33">
        <f t="shared" si="27"/>
        <v>70501</v>
      </c>
      <c r="H62" s="34">
        <f t="shared" si="28"/>
        <v>75169</v>
      </c>
      <c r="I62" s="390">
        <f t="shared" si="29"/>
        <v>67503</v>
      </c>
      <c r="J62" s="390">
        <f t="shared" si="30"/>
        <v>72366</v>
      </c>
      <c r="K62" s="38">
        <f t="shared" si="31"/>
        <v>9010</v>
      </c>
      <c r="L62" s="38">
        <f t="shared" si="32"/>
        <v>8674</v>
      </c>
      <c r="M62" s="38">
        <f t="shared" si="33"/>
        <v>62558</v>
      </c>
      <c r="N62" s="38">
        <f t="shared" si="34"/>
        <v>67655</v>
      </c>
      <c r="O62" s="31">
        <v>554</v>
      </c>
      <c r="P62" s="31">
        <v>575</v>
      </c>
      <c r="Q62" s="31">
        <v>596</v>
      </c>
      <c r="R62" s="31">
        <v>625</v>
      </c>
      <c r="S62" s="31">
        <v>648</v>
      </c>
      <c r="T62" s="31">
        <v>621</v>
      </c>
      <c r="U62" s="31">
        <v>645</v>
      </c>
      <c r="V62" s="31">
        <v>735</v>
      </c>
      <c r="W62" s="31">
        <v>697</v>
      </c>
      <c r="X62" s="31">
        <v>721</v>
      </c>
      <c r="Y62" s="31">
        <v>766</v>
      </c>
      <c r="Z62" s="31">
        <v>760</v>
      </c>
      <c r="AA62" s="31">
        <v>775</v>
      </c>
      <c r="AB62" s="31">
        <v>830</v>
      </c>
      <c r="AC62" s="31">
        <v>775</v>
      </c>
      <c r="AD62" s="31">
        <v>830</v>
      </c>
      <c r="AE62" s="31">
        <v>855</v>
      </c>
      <c r="AF62" s="31">
        <v>876</v>
      </c>
      <c r="AG62" s="31">
        <v>740</v>
      </c>
      <c r="AH62" s="31">
        <v>623</v>
      </c>
      <c r="AI62" s="31">
        <v>599</v>
      </c>
      <c r="AJ62" s="31">
        <v>593</v>
      </c>
      <c r="AK62" s="31">
        <v>580</v>
      </c>
      <c r="AL62" s="31">
        <v>626</v>
      </c>
      <c r="AM62" s="31">
        <v>703</v>
      </c>
      <c r="AN62" s="31">
        <v>661</v>
      </c>
      <c r="AO62" s="31">
        <v>656</v>
      </c>
      <c r="AP62" s="31">
        <v>653</v>
      </c>
      <c r="AQ62" s="31">
        <v>660</v>
      </c>
      <c r="AR62" s="31">
        <v>652</v>
      </c>
      <c r="AS62" s="31">
        <v>670</v>
      </c>
      <c r="AT62" s="31">
        <v>692</v>
      </c>
      <c r="AU62" s="31">
        <v>713</v>
      </c>
      <c r="AV62" s="31">
        <v>730</v>
      </c>
      <c r="AW62" s="31">
        <v>727</v>
      </c>
      <c r="AX62" s="31">
        <v>758</v>
      </c>
      <c r="AY62" s="31">
        <v>742</v>
      </c>
      <c r="AZ62" s="31">
        <v>691</v>
      </c>
      <c r="BA62" s="31">
        <v>743</v>
      </c>
      <c r="BB62" s="31">
        <v>658</v>
      </c>
      <c r="BC62" s="31">
        <v>675</v>
      </c>
      <c r="BD62" s="31">
        <v>701</v>
      </c>
      <c r="BE62" s="31">
        <v>658</v>
      </c>
      <c r="BF62" s="31">
        <v>690</v>
      </c>
      <c r="BG62" s="31">
        <v>710</v>
      </c>
      <c r="BH62" s="31">
        <v>664</v>
      </c>
      <c r="BI62" s="31">
        <v>649</v>
      </c>
      <c r="BJ62" s="31">
        <v>715</v>
      </c>
      <c r="BK62" s="31">
        <v>720</v>
      </c>
      <c r="BL62" s="31">
        <v>811</v>
      </c>
      <c r="BM62" s="31">
        <v>790</v>
      </c>
      <c r="BN62" s="31">
        <v>943</v>
      </c>
      <c r="BO62" s="31">
        <v>1030</v>
      </c>
      <c r="BP62" s="31">
        <v>1040</v>
      </c>
      <c r="BQ62" s="31">
        <v>1075</v>
      </c>
      <c r="BR62" s="31">
        <v>1086</v>
      </c>
      <c r="BS62" s="31">
        <v>1138</v>
      </c>
      <c r="BT62" s="31">
        <v>1216</v>
      </c>
      <c r="BU62" s="31">
        <v>1283</v>
      </c>
      <c r="BV62" s="31">
        <v>1248</v>
      </c>
      <c r="BW62" s="31">
        <v>1265</v>
      </c>
      <c r="BX62" s="31">
        <v>1187</v>
      </c>
      <c r="BY62" s="31">
        <v>1211</v>
      </c>
      <c r="BZ62" s="31">
        <v>1175</v>
      </c>
      <c r="CA62" s="31">
        <v>1174</v>
      </c>
      <c r="CB62" s="31">
        <v>1163</v>
      </c>
      <c r="CC62" s="31">
        <v>1067</v>
      </c>
      <c r="CD62" s="31">
        <v>1034</v>
      </c>
      <c r="CE62" s="31">
        <v>1056</v>
      </c>
      <c r="CF62" s="31">
        <v>1031</v>
      </c>
      <c r="CG62" s="31">
        <v>966</v>
      </c>
      <c r="CH62" s="31">
        <v>954</v>
      </c>
      <c r="CI62" s="31">
        <v>1003</v>
      </c>
      <c r="CJ62" s="31">
        <v>974</v>
      </c>
      <c r="CK62" s="31">
        <v>1017</v>
      </c>
      <c r="CL62" s="31">
        <v>1002</v>
      </c>
      <c r="CM62" s="31">
        <v>979</v>
      </c>
      <c r="CN62" s="31">
        <v>738</v>
      </c>
      <c r="CO62" s="31">
        <v>695</v>
      </c>
      <c r="CP62" s="31">
        <v>677</v>
      </c>
      <c r="CQ62" s="31">
        <v>615</v>
      </c>
      <c r="CR62" s="31">
        <v>598</v>
      </c>
      <c r="CS62" s="31">
        <v>499</v>
      </c>
      <c r="CT62" s="31">
        <v>440</v>
      </c>
      <c r="CU62" s="31">
        <v>388</v>
      </c>
      <c r="CV62" s="31">
        <v>385</v>
      </c>
      <c r="CW62" s="31">
        <v>313</v>
      </c>
      <c r="CX62" s="31">
        <v>302</v>
      </c>
      <c r="CY62" s="31">
        <v>225</v>
      </c>
      <c r="CZ62" s="31">
        <v>198</v>
      </c>
      <c r="DA62" s="32">
        <v>574</v>
      </c>
      <c r="DB62" s="55">
        <v>515</v>
      </c>
      <c r="DC62" s="31">
        <v>526</v>
      </c>
      <c r="DD62" s="31">
        <v>564</v>
      </c>
      <c r="DE62" s="31">
        <v>548</v>
      </c>
      <c r="DF62" s="31">
        <v>650</v>
      </c>
      <c r="DG62" s="31">
        <v>655</v>
      </c>
      <c r="DH62" s="31">
        <v>621</v>
      </c>
      <c r="DI62" s="31">
        <v>670</v>
      </c>
      <c r="DJ62" s="31">
        <v>672</v>
      </c>
      <c r="DK62" s="31">
        <v>643</v>
      </c>
      <c r="DL62" s="31">
        <v>716</v>
      </c>
      <c r="DM62" s="31">
        <v>734</v>
      </c>
      <c r="DN62" s="31">
        <v>795</v>
      </c>
      <c r="DO62" s="31">
        <v>797</v>
      </c>
      <c r="DP62" s="31">
        <v>773</v>
      </c>
      <c r="DQ62" s="31">
        <v>823</v>
      </c>
      <c r="DR62" s="31">
        <v>775</v>
      </c>
      <c r="DS62" s="31">
        <v>781</v>
      </c>
      <c r="DT62" s="31">
        <v>691</v>
      </c>
      <c r="DU62" s="31">
        <v>548</v>
      </c>
      <c r="DV62" s="31">
        <v>488</v>
      </c>
      <c r="DW62" s="31">
        <v>510</v>
      </c>
      <c r="DX62" s="31">
        <v>581</v>
      </c>
      <c r="DY62" s="31">
        <v>626</v>
      </c>
      <c r="DZ62" s="31">
        <v>609</v>
      </c>
      <c r="EA62" s="31">
        <v>676</v>
      </c>
      <c r="EB62" s="31">
        <v>680</v>
      </c>
      <c r="EC62" s="31">
        <v>652</v>
      </c>
      <c r="ED62" s="31">
        <v>719</v>
      </c>
      <c r="EE62" s="31">
        <v>692</v>
      </c>
      <c r="EF62" s="31">
        <v>760</v>
      </c>
      <c r="EG62" s="31">
        <v>809</v>
      </c>
      <c r="EH62" s="31">
        <v>772</v>
      </c>
      <c r="EI62" s="31">
        <v>779</v>
      </c>
      <c r="EJ62" s="31">
        <v>771</v>
      </c>
      <c r="EK62" s="31">
        <v>855</v>
      </c>
      <c r="EL62" s="31">
        <v>792</v>
      </c>
      <c r="EM62" s="31">
        <v>752</v>
      </c>
      <c r="EN62" s="31">
        <v>776</v>
      </c>
      <c r="EO62" s="31">
        <v>774</v>
      </c>
      <c r="EP62" s="31">
        <v>803</v>
      </c>
      <c r="EQ62" s="31">
        <v>845</v>
      </c>
      <c r="ER62" s="31">
        <v>782</v>
      </c>
      <c r="ES62" s="31">
        <v>780</v>
      </c>
      <c r="ET62" s="31">
        <v>791</v>
      </c>
      <c r="EU62" s="31">
        <v>754</v>
      </c>
      <c r="EV62" s="31">
        <v>686</v>
      </c>
      <c r="EW62" s="31">
        <v>801</v>
      </c>
      <c r="EX62" s="31">
        <v>840</v>
      </c>
      <c r="EY62" s="31">
        <v>897</v>
      </c>
      <c r="EZ62" s="31">
        <v>930</v>
      </c>
      <c r="FA62" s="31">
        <v>998</v>
      </c>
      <c r="FB62" s="31">
        <v>1121</v>
      </c>
      <c r="FC62" s="31">
        <v>1136</v>
      </c>
      <c r="FD62" s="31">
        <v>1228</v>
      </c>
      <c r="FE62" s="31">
        <v>1243</v>
      </c>
      <c r="FF62" s="31">
        <v>1271</v>
      </c>
      <c r="FG62" s="31">
        <v>1224</v>
      </c>
      <c r="FH62" s="31">
        <v>1325</v>
      </c>
      <c r="FI62" s="31">
        <v>1397</v>
      </c>
      <c r="FJ62" s="31">
        <v>1353</v>
      </c>
      <c r="FK62" s="31">
        <v>1298</v>
      </c>
      <c r="FL62" s="31">
        <v>1267</v>
      </c>
      <c r="FM62" s="31">
        <v>1271</v>
      </c>
      <c r="FN62" s="31">
        <v>1172</v>
      </c>
      <c r="FO62" s="31">
        <v>1192</v>
      </c>
      <c r="FP62" s="31">
        <v>1128</v>
      </c>
      <c r="FQ62" s="31">
        <v>1167</v>
      </c>
      <c r="FR62" s="31">
        <v>1086</v>
      </c>
      <c r="FS62" s="31">
        <v>1041</v>
      </c>
      <c r="FT62" s="31">
        <v>1062</v>
      </c>
      <c r="FU62" s="31">
        <v>1047</v>
      </c>
      <c r="FV62" s="31">
        <v>1014</v>
      </c>
      <c r="FW62" s="31">
        <v>1027</v>
      </c>
      <c r="FX62" s="31">
        <v>986</v>
      </c>
      <c r="FY62" s="31">
        <v>1042</v>
      </c>
      <c r="FZ62" s="31">
        <v>1153</v>
      </c>
      <c r="GA62" s="31">
        <v>859</v>
      </c>
      <c r="GB62" s="31">
        <v>806</v>
      </c>
      <c r="GC62" s="31">
        <v>814</v>
      </c>
      <c r="GD62" s="31">
        <v>743</v>
      </c>
      <c r="GE62" s="31">
        <v>659</v>
      </c>
      <c r="GF62" s="31">
        <v>594</v>
      </c>
      <c r="GG62" s="31">
        <v>527</v>
      </c>
      <c r="GH62" s="31">
        <v>526</v>
      </c>
      <c r="GI62" s="31">
        <v>414</v>
      </c>
      <c r="GJ62" s="31">
        <v>450</v>
      </c>
      <c r="GK62" s="31">
        <v>383</v>
      </c>
      <c r="GL62" s="31">
        <v>337</v>
      </c>
      <c r="GM62" s="31">
        <v>276</v>
      </c>
      <c r="GN62" s="32">
        <v>1053</v>
      </c>
    </row>
    <row r="63" spans="1:196" s="1" customFormat="1" x14ac:dyDescent="0.2">
      <c r="A63" s="56" t="s">
        <v>1038</v>
      </c>
      <c r="B63" s="286" t="s">
        <v>1007</v>
      </c>
      <c r="C63" s="67" t="str">
        <f t="shared" si="24"/>
        <v>Health Board - Fife</v>
      </c>
      <c r="D63" s="38">
        <f t="shared" si="25"/>
        <v>172187</v>
      </c>
      <c r="E63" s="38">
        <f t="shared" si="25"/>
        <v>184713</v>
      </c>
      <c r="F63" s="54">
        <f t="shared" si="26"/>
        <v>373210</v>
      </c>
      <c r="G63" s="33">
        <f t="shared" si="27"/>
        <v>180554</v>
      </c>
      <c r="H63" s="34">
        <f t="shared" si="28"/>
        <v>192656</v>
      </c>
      <c r="I63" s="390">
        <f t="shared" si="29"/>
        <v>172187</v>
      </c>
      <c r="J63" s="390">
        <f t="shared" si="30"/>
        <v>184713</v>
      </c>
      <c r="K63" s="38">
        <f t="shared" si="31"/>
        <v>25239</v>
      </c>
      <c r="L63" s="38">
        <f t="shared" si="32"/>
        <v>23920</v>
      </c>
      <c r="M63" s="38">
        <f t="shared" si="33"/>
        <v>158181</v>
      </c>
      <c r="N63" s="38">
        <f t="shared" si="34"/>
        <v>171476</v>
      </c>
      <c r="O63" s="31">
        <v>1454</v>
      </c>
      <c r="P63" s="31">
        <v>1631</v>
      </c>
      <c r="Q63" s="31">
        <v>1590</v>
      </c>
      <c r="R63" s="31">
        <v>1842</v>
      </c>
      <c r="S63" s="31">
        <v>1850</v>
      </c>
      <c r="T63" s="31">
        <v>1778</v>
      </c>
      <c r="U63" s="31">
        <v>1950</v>
      </c>
      <c r="V63" s="31">
        <v>1851</v>
      </c>
      <c r="W63" s="31">
        <v>2079</v>
      </c>
      <c r="X63" s="31">
        <v>2107</v>
      </c>
      <c r="Y63" s="31">
        <v>2128</v>
      </c>
      <c r="Z63" s="31">
        <v>2113</v>
      </c>
      <c r="AA63" s="31">
        <v>2316</v>
      </c>
      <c r="AB63" s="31">
        <v>2290</v>
      </c>
      <c r="AC63" s="31">
        <v>2262</v>
      </c>
      <c r="AD63" s="31">
        <v>2242</v>
      </c>
      <c r="AE63" s="31">
        <v>2123</v>
      </c>
      <c r="AF63" s="31">
        <v>2101</v>
      </c>
      <c r="AG63" s="31">
        <v>2013</v>
      </c>
      <c r="AH63" s="31">
        <v>2429</v>
      </c>
      <c r="AI63" s="31">
        <v>2434</v>
      </c>
      <c r="AJ63" s="31">
        <v>2622</v>
      </c>
      <c r="AK63" s="31">
        <v>2427</v>
      </c>
      <c r="AL63" s="31">
        <v>2268</v>
      </c>
      <c r="AM63" s="31">
        <v>2066</v>
      </c>
      <c r="AN63" s="31">
        <v>1886</v>
      </c>
      <c r="AO63" s="31">
        <v>1941</v>
      </c>
      <c r="AP63" s="31">
        <v>2008</v>
      </c>
      <c r="AQ63" s="31">
        <v>1888</v>
      </c>
      <c r="AR63" s="31">
        <v>1896</v>
      </c>
      <c r="AS63" s="31">
        <v>2044</v>
      </c>
      <c r="AT63" s="31">
        <v>1979</v>
      </c>
      <c r="AU63" s="31">
        <v>2077</v>
      </c>
      <c r="AV63" s="31">
        <v>2104</v>
      </c>
      <c r="AW63" s="31">
        <v>2106</v>
      </c>
      <c r="AX63" s="31">
        <v>2240</v>
      </c>
      <c r="AY63" s="31">
        <v>2041</v>
      </c>
      <c r="AZ63" s="31">
        <v>2272</v>
      </c>
      <c r="BA63" s="31">
        <v>2215</v>
      </c>
      <c r="BB63" s="31">
        <v>2138</v>
      </c>
      <c r="BC63" s="31">
        <v>2035</v>
      </c>
      <c r="BD63" s="31">
        <v>2218</v>
      </c>
      <c r="BE63" s="31">
        <v>2157</v>
      </c>
      <c r="BF63" s="31">
        <v>2175</v>
      </c>
      <c r="BG63" s="31">
        <v>2211</v>
      </c>
      <c r="BH63" s="31">
        <v>1941</v>
      </c>
      <c r="BI63" s="31">
        <v>2048</v>
      </c>
      <c r="BJ63" s="31">
        <v>2158</v>
      </c>
      <c r="BK63" s="31">
        <v>2088</v>
      </c>
      <c r="BL63" s="31">
        <v>2204</v>
      </c>
      <c r="BM63" s="31">
        <v>2285</v>
      </c>
      <c r="BN63" s="31">
        <v>2334</v>
      </c>
      <c r="BO63" s="31">
        <v>2568</v>
      </c>
      <c r="BP63" s="31">
        <v>2610</v>
      </c>
      <c r="BQ63" s="31">
        <v>2709</v>
      </c>
      <c r="BR63" s="31">
        <v>2729</v>
      </c>
      <c r="BS63" s="31">
        <v>2771</v>
      </c>
      <c r="BT63" s="31">
        <v>2716</v>
      </c>
      <c r="BU63" s="31">
        <v>2800</v>
      </c>
      <c r="BV63" s="31">
        <v>2771</v>
      </c>
      <c r="BW63" s="31">
        <v>2613</v>
      </c>
      <c r="BX63" s="31">
        <v>2612</v>
      </c>
      <c r="BY63" s="31">
        <v>2571</v>
      </c>
      <c r="BZ63" s="31">
        <v>2640</v>
      </c>
      <c r="CA63" s="31">
        <v>2488</v>
      </c>
      <c r="CB63" s="31">
        <v>2431</v>
      </c>
      <c r="CC63" s="31">
        <v>2322</v>
      </c>
      <c r="CD63" s="31">
        <v>2191</v>
      </c>
      <c r="CE63" s="31">
        <v>2120</v>
      </c>
      <c r="CF63" s="31">
        <v>2052</v>
      </c>
      <c r="CG63" s="31">
        <v>1954</v>
      </c>
      <c r="CH63" s="31">
        <v>1863</v>
      </c>
      <c r="CI63" s="31">
        <v>1947</v>
      </c>
      <c r="CJ63" s="31">
        <v>1853</v>
      </c>
      <c r="CK63" s="31">
        <v>1963</v>
      </c>
      <c r="CL63" s="31">
        <v>1975</v>
      </c>
      <c r="CM63" s="31">
        <v>2156</v>
      </c>
      <c r="CN63" s="31">
        <v>1525</v>
      </c>
      <c r="CO63" s="31">
        <v>1431</v>
      </c>
      <c r="CP63" s="31">
        <v>1318</v>
      </c>
      <c r="CQ63" s="31">
        <v>1139</v>
      </c>
      <c r="CR63" s="31">
        <v>1103</v>
      </c>
      <c r="CS63" s="31">
        <v>806</v>
      </c>
      <c r="CT63" s="31">
        <v>827</v>
      </c>
      <c r="CU63" s="31">
        <v>746</v>
      </c>
      <c r="CV63" s="31">
        <v>675</v>
      </c>
      <c r="CW63" s="31">
        <v>538</v>
      </c>
      <c r="CX63" s="31">
        <v>483</v>
      </c>
      <c r="CY63" s="31">
        <v>438</v>
      </c>
      <c r="CZ63" s="31">
        <v>344</v>
      </c>
      <c r="DA63" s="32">
        <v>1101</v>
      </c>
      <c r="DB63" s="55">
        <v>1495</v>
      </c>
      <c r="DC63" s="31">
        <v>1482</v>
      </c>
      <c r="DD63" s="31">
        <v>1557</v>
      </c>
      <c r="DE63" s="31">
        <v>1613</v>
      </c>
      <c r="DF63" s="31">
        <v>1796</v>
      </c>
      <c r="DG63" s="31">
        <v>1711</v>
      </c>
      <c r="DH63" s="31">
        <v>1746</v>
      </c>
      <c r="DI63" s="31">
        <v>1803</v>
      </c>
      <c r="DJ63" s="31">
        <v>2075</v>
      </c>
      <c r="DK63" s="31">
        <v>1928</v>
      </c>
      <c r="DL63" s="31">
        <v>2027</v>
      </c>
      <c r="DM63" s="31">
        <v>1947</v>
      </c>
      <c r="DN63" s="31">
        <v>2180</v>
      </c>
      <c r="DO63" s="31">
        <v>2110</v>
      </c>
      <c r="DP63" s="31">
        <v>2152</v>
      </c>
      <c r="DQ63" s="31">
        <v>2171</v>
      </c>
      <c r="DR63" s="31">
        <v>2070</v>
      </c>
      <c r="DS63" s="31">
        <v>2072</v>
      </c>
      <c r="DT63" s="31">
        <v>1998</v>
      </c>
      <c r="DU63" s="31">
        <v>2464</v>
      </c>
      <c r="DV63" s="31">
        <v>2466</v>
      </c>
      <c r="DW63" s="31">
        <v>2861</v>
      </c>
      <c r="DX63" s="31">
        <v>2328</v>
      </c>
      <c r="DY63" s="31">
        <v>2317</v>
      </c>
      <c r="DZ63" s="31">
        <v>1969</v>
      </c>
      <c r="EA63" s="31">
        <v>2021</v>
      </c>
      <c r="EB63" s="31">
        <v>2000</v>
      </c>
      <c r="EC63" s="31">
        <v>2031</v>
      </c>
      <c r="ED63" s="31">
        <v>1997</v>
      </c>
      <c r="EE63" s="31">
        <v>2106</v>
      </c>
      <c r="EF63" s="31">
        <v>2165</v>
      </c>
      <c r="EG63" s="31">
        <v>2091</v>
      </c>
      <c r="EH63" s="31">
        <v>2337</v>
      </c>
      <c r="EI63" s="31">
        <v>2243</v>
      </c>
      <c r="EJ63" s="31">
        <v>2313</v>
      </c>
      <c r="EK63" s="31">
        <v>2433</v>
      </c>
      <c r="EL63" s="31">
        <v>2259</v>
      </c>
      <c r="EM63" s="31">
        <v>2359</v>
      </c>
      <c r="EN63" s="31">
        <v>2345</v>
      </c>
      <c r="EO63" s="31">
        <v>2251</v>
      </c>
      <c r="EP63" s="31">
        <v>2378</v>
      </c>
      <c r="EQ63" s="31">
        <v>2317</v>
      </c>
      <c r="ER63" s="31">
        <v>2437</v>
      </c>
      <c r="ES63" s="31">
        <v>2392</v>
      </c>
      <c r="ET63" s="31">
        <v>2393</v>
      </c>
      <c r="EU63" s="31">
        <v>2076</v>
      </c>
      <c r="EV63" s="31">
        <v>2052</v>
      </c>
      <c r="EW63" s="31">
        <v>2283</v>
      </c>
      <c r="EX63" s="31">
        <v>2336</v>
      </c>
      <c r="EY63" s="31">
        <v>2279</v>
      </c>
      <c r="EZ63" s="31">
        <v>2460</v>
      </c>
      <c r="FA63" s="31">
        <v>2608</v>
      </c>
      <c r="FB63" s="31">
        <v>2814</v>
      </c>
      <c r="FC63" s="31">
        <v>2728</v>
      </c>
      <c r="FD63" s="31">
        <v>2846</v>
      </c>
      <c r="FE63" s="31">
        <v>2901</v>
      </c>
      <c r="FF63" s="31">
        <v>2820</v>
      </c>
      <c r="FG63" s="31">
        <v>2962</v>
      </c>
      <c r="FH63" s="31">
        <v>3058</v>
      </c>
      <c r="FI63" s="31">
        <v>2920</v>
      </c>
      <c r="FJ63" s="31">
        <v>2966</v>
      </c>
      <c r="FK63" s="31">
        <v>2798</v>
      </c>
      <c r="FL63" s="31">
        <v>2651</v>
      </c>
      <c r="FM63" s="31">
        <v>2717</v>
      </c>
      <c r="FN63" s="31">
        <v>2696</v>
      </c>
      <c r="FO63" s="31">
        <v>2601</v>
      </c>
      <c r="FP63" s="31">
        <v>2376</v>
      </c>
      <c r="FQ63" s="31">
        <v>2393</v>
      </c>
      <c r="FR63" s="31">
        <v>2307</v>
      </c>
      <c r="FS63" s="31">
        <v>2259</v>
      </c>
      <c r="FT63" s="31">
        <v>2188</v>
      </c>
      <c r="FU63" s="31">
        <v>2149</v>
      </c>
      <c r="FV63" s="31">
        <v>2162</v>
      </c>
      <c r="FW63" s="31">
        <v>2115</v>
      </c>
      <c r="FX63" s="31">
        <v>2200</v>
      </c>
      <c r="FY63" s="31">
        <v>2266</v>
      </c>
      <c r="FZ63" s="31">
        <v>2411</v>
      </c>
      <c r="GA63" s="31">
        <v>1713</v>
      </c>
      <c r="GB63" s="31">
        <v>1669</v>
      </c>
      <c r="GC63" s="31">
        <v>1648</v>
      </c>
      <c r="GD63" s="31">
        <v>1468</v>
      </c>
      <c r="GE63" s="31">
        <v>1353</v>
      </c>
      <c r="GF63" s="31">
        <v>1075</v>
      </c>
      <c r="GG63" s="31">
        <v>1120</v>
      </c>
      <c r="GH63" s="31">
        <v>1033</v>
      </c>
      <c r="GI63" s="31">
        <v>907</v>
      </c>
      <c r="GJ63" s="31">
        <v>827</v>
      </c>
      <c r="GK63" s="31">
        <v>801</v>
      </c>
      <c r="GL63" s="31">
        <v>645</v>
      </c>
      <c r="GM63" s="31">
        <v>588</v>
      </c>
      <c r="GN63" s="32">
        <v>2205</v>
      </c>
    </row>
    <row r="64" spans="1:196" s="1" customFormat="1" x14ac:dyDescent="0.2">
      <c r="A64" s="56" t="s">
        <v>1038</v>
      </c>
      <c r="B64" s="286" t="s">
        <v>1029</v>
      </c>
      <c r="C64" s="67" t="str">
        <f t="shared" si="24"/>
        <v>Health Board - Forth Valley</v>
      </c>
      <c r="D64" s="38">
        <f t="shared" si="25"/>
        <v>140592</v>
      </c>
      <c r="E64" s="38">
        <f t="shared" si="25"/>
        <v>150180</v>
      </c>
      <c r="F64" s="54">
        <f t="shared" si="26"/>
        <v>304110</v>
      </c>
      <c r="G64" s="33">
        <f t="shared" si="27"/>
        <v>147537</v>
      </c>
      <c r="H64" s="34">
        <f t="shared" si="28"/>
        <v>156573</v>
      </c>
      <c r="I64" s="390">
        <f t="shared" si="29"/>
        <v>140592</v>
      </c>
      <c r="J64" s="390">
        <f t="shared" si="30"/>
        <v>150180</v>
      </c>
      <c r="K64" s="38">
        <f t="shared" si="31"/>
        <v>20761</v>
      </c>
      <c r="L64" s="38">
        <f t="shared" si="32"/>
        <v>19668</v>
      </c>
      <c r="M64" s="38">
        <f t="shared" si="33"/>
        <v>129061</v>
      </c>
      <c r="N64" s="38">
        <f t="shared" si="34"/>
        <v>139393</v>
      </c>
      <c r="O64" s="31">
        <v>1261</v>
      </c>
      <c r="P64" s="31">
        <v>1415</v>
      </c>
      <c r="Q64" s="31">
        <v>1354</v>
      </c>
      <c r="R64" s="31">
        <v>1376</v>
      </c>
      <c r="S64" s="31">
        <v>1539</v>
      </c>
      <c r="T64" s="31">
        <v>1515</v>
      </c>
      <c r="U64" s="31">
        <v>1470</v>
      </c>
      <c r="V64" s="31">
        <v>1699</v>
      </c>
      <c r="W64" s="31">
        <v>1657</v>
      </c>
      <c r="X64" s="31">
        <v>1654</v>
      </c>
      <c r="Y64" s="31">
        <v>1707</v>
      </c>
      <c r="Z64" s="31">
        <v>1829</v>
      </c>
      <c r="AA64" s="31">
        <v>1849</v>
      </c>
      <c r="AB64" s="31">
        <v>1839</v>
      </c>
      <c r="AC64" s="31">
        <v>1834</v>
      </c>
      <c r="AD64" s="31">
        <v>1831</v>
      </c>
      <c r="AE64" s="31">
        <v>1877</v>
      </c>
      <c r="AF64" s="31">
        <v>1758</v>
      </c>
      <c r="AG64" s="31">
        <v>1803</v>
      </c>
      <c r="AH64" s="31">
        <v>1795</v>
      </c>
      <c r="AI64" s="31">
        <v>1924</v>
      </c>
      <c r="AJ64" s="31">
        <v>1795</v>
      </c>
      <c r="AK64" s="31">
        <v>1836</v>
      </c>
      <c r="AL64" s="31">
        <v>1864</v>
      </c>
      <c r="AM64" s="31">
        <v>1751</v>
      </c>
      <c r="AN64" s="31">
        <v>1701</v>
      </c>
      <c r="AO64" s="31">
        <v>1717</v>
      </c>
      <c r="AP64" s="31">
        <v>1647</v>
      </c>
      <c r="AQ64" s="31">
        <v>1660</v>
      </c>
      <c r="AR64" s="31">
        <v>1638</v>
      </c>
      <c r="AS64" s="31">
        <v>1792</v>
      </c>
      <c r="AT64" s="31">
        <v>1842</v>
      </c>
      <c r="AU64" s="31">
        <v>1849</v>
      </c>
      <c r="AV64" s="31">
        <v>1754</v>
      </c>
      <c r="AW64" s="31">
        <v>1745</v>
      </c>
      <c r="AX64" s="31">
        <v>1849</v>
      </c>
      <c r="AY64" s="31">
        <v>1736</v>
      </c>
      <c r="AZ64" s="31">
        <v>1669</v>
      </c>
      <c r="BA64" s="31">
        <v>1756</v>
      </c>
      <c r="BB64" s="31">
        <v>1782</v>
      </c>
      <c r="BC64" s="31">
        <v>1773</v>
      </c>
      <c r="BD64" s="31">
        <v>1830</v>
      </c>
      <c r="BE64" s="31">
        <v>1830</v>
      </c>
      <c r="BF64" s="31">
        <v>1823</v>
      </c>
      <c r="BG64" s="31">
        <v>1885</v>
      </c>
      <c r="BH64" s="31">
        <v>1667</v>
      </c>
      <c r="BI64" s="31">
        <v>1751</v>
      </c>
      <c r="BJ64" s="31">
        <v>1793</v>
      </c>
      <c r="BK64" s="31">
        <v>1896</v>
      </c>
      <c r="BL64" s="31">
        <v>1880</v>
      </c>
      <c r="BM64" s="31">
        <v>2010</v>
      </c>
      <c r="BN64" s="31">
        <v>2086</v>
      </c>
      <c r="BO64" s="31">
        <v>2227</v>
      </c>
      <c r="BP64" s="31">
        <v>2315</v>
      </c>
      <c r="BQ64" s="31">
        <v>2280</v>
      </c>
      <c r="BR64" s="31">
        <v>2298</v>
      </c>
      <c r="BS64" s="31">
        <v>2288</v>
      </c>
      <c r="BT64" s="31">
        <v>2230</v>
      </c>
      <c r="BU64" s="31">
        <v>2440</v>
      </c>
      <c r="BV64" s="31">
        <v>2308</v>
      </c>
      <c r="BW64" s="31">
        <v>2263</v>
      </c>
      <c r="BX64" s="31">
        <v>2145</v>
      </c>
      <c r="BY64" s="31">
        <v>2046</v>
      </c>
      <c r="BZ64" s="31">
        <v>1998</v>
      </c>
      <c r="CA64" s="31">
        <v>1965</v>
      </c>
      <c r="CB64" s="31">
        <v>1860</v>
      </c>
      <c r="CC64" s="31">
        <v>1785</v>
      </c>
      <c r="CD64" s="31">
        <v>1624</v>
      </c>
      <c r="CE64" s="31">
        <v>1576</v>
      </c>
      <c r="CF64" s="31">
        <v>1534</v>
      </c>
      <c r="CG64" s="31">
        <v>1570</v>
      </c>
      <c r="CH64" s="31">
        <v>1494</v>
      </c>
      <c r="CI64" s="31">
        <v>1455</v>
      </c>
      <c r="CJ64" s="31">
        <v>1461</v>
      </c>
      <c r="CK64" s="31">
        <v>1528</v>
      </c>
      <c r="CL64" s="31">
        <v>1470</v>
      </c>
      <c r="CM64" s="31">
        <v>1639</v>
      </c>
      <c r="CN64" s="31">
        <v>1156</v>
      </c>
      <c r="CO64" s="31">
        <v>983</v>
      </c>
      <c r="CP64" s="31">
        <v>983</v>
      </c>
      <c r="CQ64" s="31">
        <v>895</v>
      </c>
      <c r="CR64" s="31">
        <v>738</v>
      </c>
      <c r="CS64" s="31">
        <v>631</v>
      </c>
      <c r="CT64" s="31">
        <v>597</v>
      </c>
      <c r="CU64" s="31">
        <v>564</v>
      </c>
      <c r="CV64" s="31">
        <v>470</v>
      </c>
      <c r="CW64" s="31">
        <v>440</v>
      </c>
      <c r="CX64" s="31">
        <v>357</v>
      </c>
      <c r="CY64" s="31">
        <v>310</v>
      </c>
      <c r="CZ64" s="31">
        <v>238</v>
      </c>
      <c r="DA64" s="32">
        <v>783</v>
      </c>
      <c r="DB64" s="55">
        <v>1220</v>
      </c>
      <c r="DC64" s="31">
        <v>1251</v>
      </c>
      <c r="DD64" s="31">
        <v>1276</v>
      </c>
      <c r="DE64" s="31">
        <v>1248</v>
      </c>
      <c r="DF64" s="31">
        <v>1398</v>
      </c>
      <c r="DG64" s="31">
        <v>1452</v>
      </c>
      <c r="DH64" s="31">
        <v>1458</v>
      </c>
      <c r="DI64" s="31">
        <v>1512</v>
      </c>
      <c r="DJ64" s="31">
        <v>1492</v>
      </c>
      <c r="DK64" s="31">
        <v>1548</v>
      </c>
      <c r="DL64" s="31">
        <v>1597</v>
      </c>
      <c r="DM64" s="31">
        <v>1728</v>
      </c>
      <c r="DN64" s="31">
        <v>1700</v>
      </c>
      <c r="DO64" s="31">
        <v>1796</v>
      </c>
      <c r="DP64" s="31">
        <v>1792</v>
      </c>
      <c r="DQ64" s="31">
        <v>1827</v>
      </c>
      <c r="DR64" s="31">
        <v>1766</v>
      </c>
      <c r="DS64" s="31">
        <v>1744</v>
      </c>
      <c r="DT64" s="31">
        <v>1670</v>
      </c>
      <c r="DU64" s="31">
        <v>1707</v>
      </c>
      <c r="DV64" s="31">
        <v>1839</v>
      </c>
      <c r="DW64" s="31">
        <v>1819</v>
      </c>
      <c r="DX64" s="31">
        <v>2011</v>
      </c>
      <c r="DY64" s="31">
        <v>1820</v>
      </c>
      <c r="DZ64" s="31">
        <v>1801</v>
      </c>
      <c r="EA64" s="31">
        <v>1697</v>
      </c>
      <c r="EB64" s="31">
        <v>1766</v>
      </c>
      <c r="EC64" s="31">
        <v>1692</v>
      </c>
      <c r="ED64" s="31">
        <v>1736</v>
      </c>
      <c r="EE64" s="31">
        <v>1781</v>
      </c>
      <c r="EF64" s="31">
        <v>1869</v>
      </c>
      <c r="EG64" s="31">
        <v>1971</v>
      </c>
      <c r="EH64" s="31">
        <v>1995</v>
      </c>
      <c r="EI64" s="31">
        <v>1888</v>
      </c>
      <c r="EJ64" s="31">
        <v>1781</v>
      </c>
      <c r="EK64" s="31">
        <v>1963</v>
      </c>
      <c r="EL64" s="31">
        <v>1851</v>
      </c>
      <c r="EM64" s="31">
        <v>1852</v>
      </c>
      <c r="EN64" s="31">
        <v>1999</v>
      </c>
      <c r="EO64" s="31">
        <v>1830</v>
      </c>
      <c r="EP64" s="31">
        <v>2045</v>
      </c>
      <c r="EQ64" s="31">
        <v>2050</v>
      </c>
      <c r="ER64" s="31">
        <v>1957</v>
      </c>
      <c r="ES64" s="31">
        <v>1862</v>
      </c>
      <c r="ET64" s="31">
        <v>1949</v>
      </c>
      <c r="EU64" s="31">
        <v>1874</v>
      </c>
      <c r="EV64" s="31">
        <v>1863</v>
      </c>
      <c r="EW64" s="31">
        <v>1934</v>
      </c>
      <c r="EX64" s="31">
        <v>1994</v>
      </c>
      <c r="EY64" s="31">
        <v>2076</v>
      </c>
      <c r="EZ64" s="31">
        <v>2252</v>
      </c>
      <c r="FA64" s="31">
        <v>2349</v>
      </c>
      <c r="FB64" s="31">
        <v>2376</v>
      </c>
      <c r="FC64" s="31">
        <v>2407</v>
      </c>
      <c r="FD64" s="31">
        <v>2430</v>
      </c>
      <c r="FE64" s="31">
        <v>2524</v>
      </c>
      <c r="FF64" s="31">
        <v>2473</v>
      </c>
      <c r="FG64" s="31">
        <v>2421</v>
      </c>
      <c r="FH64" s="31">
        <v>2429</v>
      </c>
      <c r="FI64" s="31">
        <v>2387</v>
      </c>
      <c r="FJ64" s="31">
        <v>2401</v>
      </c>
      <c r="FK64" s="31">
        <v>2286</v>
      </c>
      <c r="FL64" s="31">
        <v>2213</v>
      </c>
      <c r="FM64" s="31">
        <v>2120</v>
      </c>
      <c r="FN64" s="31">
        <v>2003</v>
      </c>
      <c r="FO64" s="31">
        <v>1961</v>
      </c>
      <c r="FP64" s="31">
        <v>1855</v>
      </c>
      <c r="FQ64" s="31">
        <v>1867</v>
      </c>
      <c r="FR64" s="31">
        <v>1784</v>
      </c>
      <c r="FS64" s="31">
        <v>1754</v>
      </c>
      <c r="FT64" s="31">
        <v>1666</v>
      </c>
      <c r="FU64" s="31">
        <v>1585</v>
      </c>
      <c r="FV64" s="31">
        <v>1740</v>
      </c>
      <c r="FW64" s="31">
        <v>1629</v>
      </c>
      <c r="FX64" s="31">
        <v>1644</v>
      </c>
      <c r="FY64" s="31">
        <v>1700</v>
      </c>
      <c r="FZ64" s="31">
        <v>1785</v>
      </c>
      <c r="GA64" s="31">
        <v>1276</v>
      </c>
      <c r="GB64" s="31">
        <v>1244</v>
      </c>
      <c r="GC64" s="31">
        <v>1243</v>
      </c>
      <c r="GD64" s="31">
        <v>1159</v>
      </c>
      <c r="GE64" s="31">
        <v>1036</v>
      </c>
      <c r="GF64" s="31">
        <v>898</v>
      </c>
      <c r="GG64" s="31">
        <v>814</v>
      </c>
      <c r="GH64" s="31">
        <v>862</v>
      </c>
      <c r="GI64" s="31">
        <v>733</v>
      </c>
      <c r="GJ64" s="31">
        <v>679</v>
      </c>
      <c r="GK64" s="31">
        <v>589</v>
      </c>
      <c r="GL64" s="31">
        <v>460</v>
      </c>
      <c r="GM64" s="31">
        <v>352</v>
      </c>
      <c r="GN64" s="32">
        <v>1440</v>
      </c>
    </row>
    <row r="65" spans="1:196" s="1" customFormat="1" x14ac:dyDescent="0.2">
      <c r="A65" s="56" t="s">
        <v>1038</v>
      </c>
      <c r="B65" s="286" t="s">
        <v>1030</v>
      </c>
      <c r="C65" s="67" t="str">
        <f t="shared" si="24"/>
        <v>Health Board - Grampian</v>
      </c>
      <c r="D65" s="38">
        <f t="shared" si="25"/>
        <v>274186</v>
      </c>
      <c r="E65" s="38">
        <f t="shared" si="25"/>
        <v>285105</v>
      </c>
      <c r="F65" s="54">
        <f t="shared" si="26"/>
        <v>586740</v>
      </c>
      <c r="G65" s="33">
        <f t="shared" si="27"/>
        <v>288230</v>
      </c>
      <c r="H65" s="34">
        <f t="shared" si="28"/>
        <v>298510</v>
      </c>
      <c r="I65" s="390">
        <f t="shared" si="29"/>
        <v>274186</v>
      </c>
      <c r="J65" s="390">
        <f t="shared" si="30"/>
        <v>285105</v>
      </c>
      <c r="K65" s="38">
        <f t="shared" si="31"/>
        <v>40841</v>
      </c>
      <c r="L65" s="38">
        <f t="shared" si="32"/>
        <v>38766</v>
      </c>
      <c r="M65" s="38">
        <f t="shared" si="33"/>
        <v>250475</v>
      </c>
      <c r="N65" s="38">
        <f t="shared" si="34"/>
        <v>262654</v>
      </c>
      <c r="O65" s="31">
        <v>2482</v>
      </c>
      <c r="P65" s="31">
        <v>2696</v>
      </c>
      <c r="Q65" s="31">
        <v>2797</v>
      </c>
      <c r="R65" s="31">
        <v>2933</v>
      </c>
      <c r="S65" s="31">
        <v>3136</v>
      </c>
      <c r="T65" s="31">
        <v>3269</v>
      </c>
      <c r="U65" s="31">
        <v>3188</v>
      </c>
      <c r="V65" s="31">
        <v>3555</v>
      </c>
      <c r="W65" s="31">
        <v>3328</v>
      </c>
      <c r="X65" s="31">
        <v>3442</v>
      </c>
      <c r="Y65" s="31">
        <v>3448</v>
      </c>
      <c r="Z65" s="31">
        <v>3481</v>
      </c>
      <c r="AA65" s="31">
        <v>3518</v>
      </c>
      <c r="AB65" s="31">
        <v>3501</v>
      </c>
      <c r="AC65" s="31">
        <v>3370</v>
      </c>
      <c r="AD65" s="31">
        <v>3424</v>
      </c>
      <c r="AE65" s="31">
        <v>3317</v>
      </c>
      <c r="AF65" s="31">
        <v>3270</v>
      </c>
      <c r="AG65" s="31">
        <v>3091</v>
      </c>
      <c r="AH65" s="31">
        <v>3083</v>
      </c>
      <c r="AI65" s="31">
        <v>3576</v>
      </c>
      <c r="AJ65" s="31">
        <v>3284</v>
      </c>
      <c r="AK65" s="31">
        <v>3532</v>
      </c>
      <c r="AL65" s="31">
        <v>3631</v>
      </c>
      <c r="AM65" s="31">
        <v>3532</v>
      </c>
      <c r="AN65" s="31">
        <v>3182</v>
      </c>
      <c r="AO65" s="31">
        <v>3489</v>
      </c>
      <c r="AP65" s="31">
        <v>3286</v>
      </c>
      <c r="AQ65" s="31">
        <v>3254</v>
      </c>
      <c r="AR65" s="31">
        <v>3487</v>
      </c>
      <c r="AS65" s="31">
        <v>3451</v>
      </c>
      <c r="AT65" s="31">
        <v>3479</v>
      </c>
      <c r="AU65" s="31">
        <v>3849</v>
      </c>
      <c r="AV65" s="31">
        <v>3732</v>
      </c>
      <c r="AW65" s="31">
        <v>3907</v>
      </c>
      <c r="AX65" s="31">
        <v>3859</v>
      </c>
      <c r="AY65" s="31">
        <v>3886</v>
      </c>
      <c r="AZ65" s="31">
        <v>3860</v>
      </c>
      <c r="BA65" s="31">
        <v>3971</v>
      </c>
      <c r="BB65" s="31">
        <v>3924</v>
      </c>
      <c r="BC65" s="31">
        <v>3887</v>
      </c>
      <c r="BD65" s="31">
        <v>3809</v>
      </c>
      <c r="BE65" s="31">
        <v>3850</v>
      </c>
      <c r="BF65" s="31">
        <v>3842</v>
      </c>
      <c r="BG65" s="31">
        <v>3786</v>
      </c>
      <c r="BH65" s="31">
        <v>3389</v>
      </c>
      <c r="BI65" s="31">
        <v>3524</v>
      </c>
      <c r="BJ65" s="31">
        <v>3516</v>
      </c>
      <c r="BK65" s="31">
        <v>3582</v>
      </c>
      <c r="BL65" s="31">
        <v>3665</v>
      </c>
      <c r="BM65" s="31">
        <v>3921</v>
      </c>
      <c r="BN65" s="31">
        <v>3857</v>
      </c>
      <c r="BO65" s="31">
        <v>4014</v>
      </c>
      <c r="BP65" s="31">
        <v>3969</v>
      </c>
      <c r="BQ65" s="31">
        <v>4082</v>
      </c>
      <c r="BR65" s="31">
        <v>4130</v>
      </c>
      <c r="BS65" s="31">
        <v>4204</v>
      </c>
      <c r="BT65" s="31">
        <v>4040</v>
      </c>
      <c r="BU65" s="31">
        <v>4083</v>
      </c>
      <c r="BV65" s="31">
        <v>4204</v>
      </c>
      <c r="BW65" s="31">
        <v>4184</v>
      </c>
      <c r="BX65" s="31">
        <v>3957</v>
      </c>
      <c r="BY65" s="31">
        <v>3764</v>
      </c>
      <c r="BZ65" s="31">
        <v>3717</v>
      </c>
      <c r="CA65" s="31">
        <v>3651</v>
      </c>
      <c r="CB65" s="31">
        <v>3764</v>
      </c>
      <c r="CC65" s="31">
        <v>3442</v>
      </c>
      <c r="CD65" s="31">
        <v>3462</v>
      </c>
      <c r="CE65" s="31">
        <v>3265</v>
      </c>
      <c r="CF65" s="31">
        <v>3195</v>
      </c>
      <c r="CG65" s="31">
        <v>2900</v>
      </c>
      <c r="CH65" s="31">
        <v>2865</v>
      </c>
      <c r="CI65" s="31">
        <v>2850</v>
      </c>
      <c r="CJ65" s="31">
        <v>2769</v>
      </c>
      <c r="CK65" s="31">
        <v>2912</v>
      </c>
      <c r="CL65" s="31">
        <v>2876</v>
      </c>
      <c r="CM65" s="31">
        <v>2898</v>
      </c>
      <c r="CN65" s="31">
        <v>2151</v>
      </c>
      <c r="CO65" s="31">
        <v>1766</v>
      </c>
      <c r="CP65" s="31">
        <v>1815</v>
      </c>
      <c r="CQ65" s="31">
        <v>1670</v>
      </c>
      <c r="CR65" s="31">
        <v>1506</v>
      </c>
      <c r="CS65" s="31">
        <v>1243</v>
      </c>
      <c r="CT65" s="31">
        <v>1240</v>
      </c>
      <c r="CU65" s="31">
        <v>1032</v>
      </c>
      <c r="CV65" s="31">
        <v>1012</v>
      </c>
      <c r="CW65" s="31">
        <v>847</v>
      </c>
      <c r="CX65" s="31">
        <v>739</v>
      </c>
      <c r="CY65" s="31">
        <v>614</v>
      </c>
      <c r="CZ65" s="31">
        <v>553</v>
      </c>
      <c r="DA65" s="32">
        <v>1717</v>
      </c>
      <c r="DB65" s="55">
        <v>2362</v>
      </c>
      <c r="DC65" s="31">
        <v>2656</v>
      </c>
      <c r="DD65" s="31">
        <v>2593</v>
      </c>
      <c r="DE65" s="31">
        <v>2810</v>
      </c>
      <c r="DF65" s="31">
        <v>2984</v>
      </c>
      <c r="DG65" s="31">
        <v>3062</v>
      </c>
      <c r="DH65" s="31">
        <v>3048</v>
      </c>
      <c r="DI65" s="31">
        <v>3315</v>
      </c>
      <c r="DJ65" s="31">
        <v>3158</v>
      </c>
      <c r="DK65" s="31">
        <v>3296</v>
      </c>
      <c r="DL65" s="31">
        <v>3217</v>
      </c>
      <c r="DM65" s="31">
        <v>3355</v>
      </c>
      <c r="DN65" s="31">
        <v>3295</v>
      </c>
      <c r="DO65" s="31">
        <v>3436</v>
      </c>
      <c r="DP65" s="31">
        <v>3215</v>
      </c>
      <c r="DQ65" s="31">
        <v>3230</v>
      </c>
      <c r="DR65" s="31">
        <v>3139</v>
      </c>
      <c r="DS65" s="31">
        <v>3044</v>
      </c>
      <c r="DT65" s="31">
        <v>2979</v>
      </c>
      <c r="DU65" s="31">
        <v>3114</v>
      </c>
      <c r="DV65" s="31">
        <v>3681</v>
      </c>
      <c r="DW65" s="31">
        <v>3204</v>
      </c>
      <c r="DX65" s="31">
        <v>3520</v>
      </c>
      <c r="DY65" s="31">
        <v>3444</v>
      </c>
      <c r="DZ65" s="31">
        <v>3351</v>
      </c>
      <c r="EA65" s="31">
        <v>3220</v>
      </c>
      <c r="EB65" s="31">
        <v>3471</v>
      </c>
      <c r="EC65" s="31">
        <v>3330</v>
      </c>
      <c r="ED65" s="31">
        <v>3328</v>
      </c>
      <c r="EE65" s="31">
        <v>3632</v>
      </c>
      <c r="EF65" s="31">
        <v>3666</v>
      </c>
      <c r="EG65" s="31">
        <v>3861</v>
      </c>
      <c r="EH65" s="31">
        <v>4021</v>
      </c>
      <c r="EI65" s="31">
        <v>3936</v>
      </c>
      <c r="EJ65" s="31">
        <v>3860</v>
      </c>
      <c r="EK65" s="31">
        <v>4138</v>
      </c>
      <c r="EL65" s="31">
        <v>4020</v>
      </c>
      <c r="EM65" s="31">
        <v>4119</v>
      </c>
      <c r="EN65" s="31">
        <v>4187</v>
      </c>
      <c r="EO65" s="31">
        <v>3933</v>
      </c>
      <c r="EP65" s="31">
        <v>3994</v>
      </c>
      <c r="EQ65" s="31">
        <v>3956</v>
      </c>
      <c r="ER65" s="31">
        <v>4001</v>
      </c>
      <c r="ES65" s="31">
        <v>3954</v>
      </c>
      <c r="ET65" s="31">
        <v>3794</v>
      </c>
      <c r="EU65" s="31">
        <v>3593</v>
      </c>
      <c r="EV65" s="31">
        <v>3531</v>
      </c>
      <c r="EW65" s="31">
        <v>3627</v>
      </c>
      <c r="EX65" s="31">
        <v>3719</v>
      </c>
      <c r="EY65" s="31">
        <v>3825</v>
      </c>
      <c r="EZ65" s="31">
        <v>3976</v>
      </c>
      <c r="FA65" s="31">
        <v>4092</v>
      </c>
      <c r="FB65" s="31">
        <v>4422</v>
      </c>
      <c r="FC65" s="31">
        <v>4171</v>
      </c>
      <c r="FD65" s="31">
        <v>4318</v>
      </c>
      <c r="FE65" s="31">
        <v>4079</v>
      </c>
      <c r="FF65" s="31">
        <v>4179</v>
      </c>
      <c r="FG65" s="31">
        <v>4255</v>
      </c>
      <c r="FH65" s="31">
        <v>4359</v>
      </c>
      <c r="FI65" s="31">
        <v>4320</v>
      </c>
      <c r="FJ65" s="31">
        <v>4283</v>
      </c>
      <c r="FK65" s="31">
        <v>4061</v>
      </c>
      <c r="FL65" s="31">
        <v>3887</v>
      </c>
      <c r="FM65" s="31">
        <v>3838</v>
      </c>
      <c r="FN65" s="31">
        <v>3780</v>
      </c>
      <c r="FO65" s="31">
        <v>3700</v>
      </c>
      <c r="FP65" s="31">
        <v>3613</v>
      </c>
      <c r="FQ65" s="31">
        <v>3548</v>
      </c>
      <c r="FR65" s="31">
        <v>3432</v>
      </c>
      <c r="FS65" s="31">
        <v>3296</v>
      </c>
      <c r="FT65" s="31">
        <v>3120</v>
      </c>
      <c r="FU65" s="31">
        <v>2993</v>
      </c>
      <c r="FV65" s="31">
        <v>3033</v>
      </c>
      <c r="FW65" s="31">
        <v>2992</v>
      </c>
      <c r="FX65" s="31">
        <v>3017</v>
      </c>
      <c r="FY65" s="31">
        <v>2996</v>
      </c>
      <c r="FZ65" s="31">
        <v>3365</v>
      </c>
      <c r="GA65" s="31">
        <v>2416</v>
      </c>
      <c r="GB65" s="31">
        <v>2177</v>
      </c>
      <c r="GC65" s="31">
        <v>2098</v>
      </c>
      <c r="GD65" s="31">
        <v>2034</v>
      </c>
      <c r="GE65" s="31">
        <v>1885</v>
      </c>
      <c r="GF65" s="31">
        <v>1647</v>
      </c>
      <c r="GG65" s="31">
        <v>1617</v>
      </c>
      <c r="GH65" s="31">
        <v>1455</v>
      </c>
      <c r="GI65" s="31">
        <v>1411</v>
      </c>
      <c r="GJ65" s="31">
        <v>1213</v>
      </c>
      <c r="GK65" s="31">
        <v>1133</v>
      </c>
      <c r="GL65" s="31">
        <v>1018</v>
      </c>
      <c r="GM65" s="31">
        <v>853</v>
      </c>
      <c r="GN65" s="32">
        <v>3204</v>
      </c>
    </row>
    <row r="66" spans="1:196" s="1" customFormat="1" x14ac:dyDescent="0.2">
      <c r="A66" s="56" t="s">
        <v>1038</v>
      </c>
      <c r="B66" s="286" t="s">
        <v>1031</v>
      </c>
      <c r="C66" s="67" t="str">
        <f t="shared" si="24"/>
        <v>Health Board - Greater Glasgow and Clyde</v>
      </c>
      <c r="D66" s="38">
        <f t="shared" ref="D66:D73" si="35">I66</f>
        <v>552482</v>
      </c>
      <c r="E66" s="38">
        <f t="shared" ref="E66:E73" si="36">J66</f>
        <v>585272</v>
      </c>
      <c r="F66" s="54">
        <f t="shared" ref="F66:F73" si="37">G66+H66</f>
        <v>1193420</v>
      </c>
      <c r="G66" s="33">
        <f t="shared" ref="G66:G73" si="38">SUM(O66:DA66)</f>
        <v>581147</v>
      </c>
      <c r="H66" s="34">
        <f t="shared" ref="H66:H73" si="39">SUM(DB66:GN66)</f>
        <v>612273</v>
      </c>
      <c r="I66" s="390">
        <f t="shared" si="29"/>
        <v>552482</v>
      </c>
      <c r="J66" s="390">
        <f t="shared" si="30"/>
        <v>585272</v>
      </c>
      <c r="K66" s="38">
        <f t="shared" si="31"/>
        <v>76834</v>
      </c>
      <c r="L66" s="38">
        <f t="shared" si="32"/>
        <v>73445</v>
      </c>
      <c r="M66" s="38">
        <f t="shared" si="33"/>
        <v>508302</v>
      </c>
      <c r="N66" s="38">
        <f t="shared" si="34"/>
        <v>543011</v>
      </c>
      <c r="O66" s="31">
        <v>5559</v>
      </c>
      <c r="P66" s="31">
        <v>5750</v>
      </c>
      <c r="Q66" s="31">
        <v>5640</v>
      </c>
      <c r="R66" s="31">
        <v>5622</v>
      </c>
      <c r="S66" s="31">
        <v>6094</v>
      </c>
      <c r="T66" s="31">
        <v>5856</v>
      </c>
      <c r="U66" s="31">
        <v>6089</v>
      </c>
      <c r="V66" s="31">
        <v>6390</v>
      </c>
      <c r="W66" s="31">
        <v>6244</v>
      </c>
      <c r="X66" s="31">
        <v>6427</v>
      </c>
      <c r="Y66" s="31">
        <v>6477</v>
      </c>
      <c r="Z66" s="31">
        <v>6697</v>
      </c>
      <c r="AA66" s="31">
        <v>6713</v>
      </c>
      <c r="AB66" s="31">
        <v>6603</v>
      </c>
      <c r="AC66" s="31">
        <v>6525</v>
      </c>
      <c r="AD66" s="31">
        <v>6475</v>
      </c>
      <c r="AE66" s="31">
        <v>6338</v>
      </c>
      <c r="AF66" s="31">
        <v>6349</v>
      </c>
      <c r="AG66" s="31">
        <v>6430</v>
      </c>
      <c r="AH66" s="31">
        <v>7415</v>
      </c>
      <c r="AI66" s="31">
        <v>8600</v>
      </c>
      <c r="AJ66" s="31">
        <v>8175</v>
      </c>
      <c r="AK66" s="31">
        <v>8675</v>
      </c>
      <c r="AL66" s="31">
        <v>9168</v>
      </c>
      <c r="AM66" s="31">
        <v>9277</v>
      </c>
      <c r="AN66" s="31">
        <v>9519</v>
      </c>
      <c r="AO66" s="31">
        <v>9326</v>
      </c>
      <c r="AP66" s="31">
        <v>9137</v>
      </c>
      <c r="AQ66" s="31">
        <v>9181</v>
      </c>
      <c r="AR66" s="31">
        <v>9002</v>
      </c>
      <c r="AS66" s="31">
        <v>8744</v>
      </c>
      <c r="AT66" s="31">
        <v>9143</v>
      </c>
      <c r="AU66" s="31">
        <v>9043</v>
      </c>
      <c r="AV66" s="31">
        <v>8796</v>
      </c>
      <c r="AW66" s="31">
        <v>8686</v>
      </c>
      <c r="AX66" s="31">
        <v>8946</v>
      </c>
      <c r="AY66" s="31">
        <v>8499</v>
      </c>
      <c r="AZ66" s="31">
        <v>8414</v>
      </c>
      <c r="BA66" s="31">
        <v>8299</v>
      </c>
      <c r="BB66" s="31">
        <v>7822</v>
      </c>
      <c r="BC66" s="31">
        <v>7708</v>
      </c>
      <c r="BD66" s="31">
        <v>7643</v>
      </c>
      <c r="BE66" s="31">
        <v>7692</v>
      </c>
      <c r="BF66" s="31">
        <v>7396</v>
      </c>
      <c r="BG66" s="31">
        <v>7348</v>
      </c>
      <c r="BH66" s="31">
        <v>6426</v>
      </c>
      <c r="BI66" s="31">
        <v>6222</v>
      </c>
      <c r="BJ66" s="31">
        <v>6687</v>
      </c>
      <c r="BK66" s="31">
        <v>6562</v>
      </c>
      <c r="BL66" s="31">
        <v>6798</v>
      </c>
      <c r="BM66" s="31">
        <v>6949</v>
      </c>
      <c r="BN66" s="31">
        <v>7223</v>
      </c>
      <c r="BO66" s="31">
        <v>7462</v>
      </c>
      <c r="BP66" s="31">
        <v>7528</v>
      </c>
      <c r="BQ66" s="31">
        <v>7848</v>
      </c>
      <c r="BR66" s="31">
        <v>7858</v>
      </c>
      <c r="BS66" s="31">
        <v>8001</v>
      </c>
      <c r="BT66" s="31">
        <v>7885</v>
      </c>
      <c r="BU66" s="31">
        <v>8157</v>
      </c>
      <c r="BV66" s="31">
        <v>8125</v>
      </c>
      <c r="BW66" s="31">
        <v>7914</v>
      </c>
      <c r="BX66" s="31">
        <v>7815</v>
      </c>
      <c r="BY66" s="31">
        <v>7563</v>
      </c>
      <c r="BZ66" s="31">
        <v>7424</v>
      </c>
      <c r="CA66" s="31">
        <v>7237</v>
      </c>
      <c r="CB66" s="31">
        <v>6860</v>
      </c>
      <c r="CC66" s="31">
        <v>6429</v>
      </c>
      <c r="CD66" s="31">
        <v>6239</v>
      </c>
      <c r="CE66" s="31">
        <v>5922</v>
      </c>
      <c r="CF66" s="31">
        <v>5461</v>
      </c>
      <c r="CG66" s="31">
        <v>5425</v>
      </c>
      <c r="CH66" s="31">
        <v>4900</v>
      </c>
      <c r="CI66" s="31">
        <v>4904</v>
      </c>
      <c r="CJ66" s="31">
        <v>4556</v>
      </c>
      <c r="CK66" s="31">
        <v>4434</v>
      </c>
      <c r="CL66" s="31">
        <v>4460</v>
      </c>
      <c r="CM66" s="31">
        <v>4610</v>
      </c>
      <c r="CN66" s="31">
        <v>3424</v>
      </c>
      <c r="CO66" s="31">
        <v>3052</v>
      </c>
      <c r="CP66" s="31">
        <v>3024</v>
      </c>
      <c r="CQ66" s="31">
        <v>2711</v>
      </c>
      <c r="CR66" s="31">
        <v>2392</v>
      </c>
      <c r="CS66" s="31">
        <v>2014</v>
      </c>
      <c r="CT66" s="31">
        <v>1854</v>
      </c>
      <c r="CU66" s="31">
        <v>1819</v>
      </c>
      <c r="CV66" s="31">
        <v>1648</v>
      </c>
      <c r="CW66" s="31">
        <v>1425</v>
      </c>
      <c r="CX66" s="31">
        <v>1201</v>
      </c>
      <c r="CY66" s="31">
        <v>1050</v>
      </c>
      <c r="CZ66" s="31">
        <v>816</v>
      </c>
      <c r="DA66" s="32">
        <v>2901</v>
      </c>
      <c r="DB66" s="55">
        <v>5226</v>
      </c>
      <c r="DC66" s="31">
        <v>5241</v>
      </c>
      <c r="DD66" s="31">
        <v>5276</v>
      </c>
      <c r="DE66" s="31">
        <v>5484</v>
      </c>
      <c r="DF66" s="31">
        <v>5774</v>
      </c>
      <c r="DG66" s="31">
        <v>5563</v>
      </c>
      <c r="DH66" s="31">
        <v>5747</v>
      </c>
      <c r="DI66" s="31">
        <v>6129</v>
      </c>
      <c r="DJ66" s="31">
        <v>6005</v>
      </c>
      <c r="DK66" s="31">
        <v>6109</v>
      </c>
      <c r="DL66" s="31">
        <v>6384</v>
      </c>
      <c r="DM66" s="31">
        <v>6324</v>
      </c>
      <c r="DN66" s="31">
        <v>6340</v>
      </c>
      <c r="DO66" s="31">
        <v>6386</v>
      </c>
      <c r="DP66" s="31">
        <v>6135</v>
      </c>
      <c r="DQ66" s="31">
        <v>6372</v>
      </c>
      <c r="DR66" s="31">
        <v>5951</v>
      </c>
      <c r="DS66" s="31">
        <v>5975</v>
      </c>
      <c r="DT66" s="31">
        <v>6169</v>
      </c>
      <c r="DU66" s="31">
        <v>7378</v>
      </c>
      <c r="DV66" s="31">
        <v>8705</v>
      </c>
      <c r="DW66" s="31">
        <v>8238</v>
      </c>
      <c r="DX66" s="31">
        <v>8552</v>
      </c>
      <c r="DY66" s="31">
        <v>9280</v>
      </c>
      <c r="DZ66" s="31">
        <v>9804</v>
      </c>
      <c r="EA66" s="31">
        <v>9480</v>
      </c>
      <c r="EB66" s="31">
        <v>9622</v>
      </c>
      <c r="EC66" s="31">
        <v>9346</v>
      </c>
      <c r="ED66" s="31">
        <v>9019</v>
      </c>
      <c r="EE66" s="31">
        <v>9084</v>
      </c>
      <c r="EF66" s="31">
        <v>9213</v>
      </c>
      <c r="EG66" s="31">
        <v>9491</v>
      </c>
      <c r="EH66" s="31">
        <v>9117</v>
      </c>
      <c r="EI66" s="31">
        <v>8938</v>
      </c>
      <c r="EJ66" s="31">
        <v>8824</v>
      </c>
      <c r="EK66" s="31">
        <v>9044</v>
      </c>
      <c r="EL66" s="31">
        <v>8436</v>
      </c>
      <c r="EM66" s="31">
        <v>8299</v>
      </c>
      <c r="EN66" s="31">
        <v>8304</v>
      </c>
      <c r="EO66" s="31">
        <v>8063</v>
      </c>
      <c r="EP66" s="31">
        <v>8063</v>
      </c>
      <c r="EQ66" s="31">
        <v>7807</v>
      </c>
      <c r="ER66" s="31">
        <v>7911</v>
      </c>
      <c r="ES66" s="31">
        <v>7684</v>
      </c>
      <c r="ET66" s="31">
        <v>7517</v>
      </c>
      <c r="EU66" s="31">
        <v>6895</v>
      </c>
      <c r="EV66" s="31">
        <v>6667</v>
      </c>
      <c r="EW66" s="31">
        <v>6875</v>
      </c>
      <c r="EX66" s="31">
        <v>6790</v>
      </c>
      <c r="EY66" s="31">
        <v>6781</v>
      </c>
      <c r="EZ66" s="31">
        <v>7205</v>
      </c>
      <c r="FA66" s="31">
        <v>7633</v>
      </c>
      <c r="FB66" s="31">
        <v>8093</v>
      </c>
      <c r="FC66" s="31">
        <v>8186</v>
      </c>
      <c r="FD66" s="31">
        <v>8364</v>
      </c>
      <c r="FE66" s="31">
        <v>8641</v>
      </c>
      <c r="FF66" s="31">
        <v>8466</v>
      </c>
      <c r="FG66" s="31">
        <v>8570</v>
      </c>
      <c r="FH66" s="31">
        <v>8727</v>
      </c>
      <c r="FI66" s="31">
        <v>8994</v>
      </c>
      <c r="FJ66" s="31">
        <v>8568</v>
      </c>
      <c r="FK66" s="31">
        <v>8422</v>
      </c>
      <c r="FL66" s="31">
        <v>8214</v>
      </c>
      <c r="FM66" s="31">
        <v>7782</v>
      </c>
      <c r="FN66" s="31">
        <v>7796</v>
      </c>
      <c r="FO66" s="31">
        <v>7461</v>
      </c>
      <c r="FP66" s="31">
        <v>7046</v>
      </c>
      <c r="FQ66" s="31">
        <v>6947</v>
      </c>
      <c r="FR66" s="31">
        <v>6469</v>
      </c>
      <c r="FS66" s="31">
        <v>6198</v>
      </c>
      <c r="FT66" s="31">
        <v>5709</v>
      </c>
      <c r="FU66" s="31">
        <v>5464</v>
      </c>
      <c r="FV66" s="31">
        <v>5421</v>
      </c>
      <c r="FW66" s="31">
        <v>5315</v>
      </c>
      <c r="FX66" s="31">
        <v>5391</v>
      </c>
      <c r="FY66" s="31">
        <v>5396</v>
      </c>
      <c r="FZ66" s="31">
        <v>5476</v>
      </c>
      <c r="GA66" s="31">
        <v>4113</v>
      </c>
      <c r="GB66" s="31">
        <v>4004</v>
      </c>
      <c r="GC66" s="31">
        <v>3958</v>
      </c>
      <c r="GD66" s="31">
        <v>3746</v>
      </c>
      <c r="GE66" s="31">
        <v>3257</v>
      </c>
      <c r="GF66" s="31">
        <v>2956</v>
      </c>
      <c r="GG66" s="31">
        <v>3021</v>
      </c>
      <c r="GH66" s="31">
        <v>2828</v>
      </c>
      <c r="GI66" s="31">
        <v>2588</v>
      </c>
      <c r="GJ66" s="31">
        <v>2336</v>
      </c>
      <c r="GK66" s="31">
        <v>2129</v>
      </c>
      <c r="GL66" s="31">
        <v>1901</v>
      </c>
      <c r="GM66" s="31">
        <v>1680</v>
      </c>
      <c r="GN66" s="32">
        <v>5985</v>
      </c>
    </row>
    <row r="67" spans="1:196" s="1" customFormat="1" x14ac:dyDescent="0.2">
      <c r="A67" s="56" t="s">
        <v>1038</v>
      </c>
      <c r="B67" s="286" t="s">
        <v>1009</v>
      </c>
      <c r="C67" s="67" t="str">
        <f t="shared" si="24"/>
        <v>Health Board - Highland</v>
      </c>
      <c r="D67" s="38">
        <f t="shared" si="35"/>
        <v>152875</v>
      </c>
      <c r="E67" s="38">
        <f t="shared" si="36"/>
        <v>158308</v>
      </c>
      <c r="F67" s="54">
        <f t="shared" si="37"/>
        <v>324140</v>
      </c>
      <c r="G67" s="33">
        <f t="shared" si="38"/>
        <v>159567</v>
      </c>
      <c r="H67" s="34">
        <f t="shared" si="39"/>
        <v>164573</v>
      </c>
      <c r="I67" s="390">
        <f t="shared" si="29"/>
        <v>152875</v>
      </c>
      <c r="J67" s="390">
        <f t="shared" si="30"/>
        <v>158308</v>
      </c>
      <c r="K67" s="38">
        <f t="shared" si="31"/>
        <v>20428</v>
      </c>
      <c r="L67" s="38">
        <f t="shared" si="32"/>
        <v>19398</v>
      </c>
      <c r="M67" s="38">
        <f t="shared" si="33"/>
        <v>141489</v>
      </c>
      <c r="N67" s="38">
        <f t="shared" si="34"/>
        <v>147474</v>
      </c>
      <c r="O67" s="31">
        <v>1262</v>
      </c>
      <c r="P67" s="31">
        <v>1322</v>
      </c>
      <c r="Q67" s="31">
        <v>1302</v>
      </c>
      <c r="R67" s="31">
        <v>1333</v>
      </c>
      <c r="S67" s="31">
        <v>1473</v>
      </c>
      <c r="T67" s="31">
        <v>1449</v>
      </c>
      <c r="U67" s="31">
        <v>1521</v>
      </c>
      <c r="V67" s="31">
        <v>1648</v>
      </c>
      <c r="W67" s="31">
        <v>1685</v>
      </c>
      <c r="X67" s="31">
        <v>1652</v>
      </c>
      <c r="Y67" s="31">
        <v>1634</v>
      </c>
      <c r="Z67" s="31">
        <v>1797</v>
      </c>
      <c r="AA67" s="31">
        <v>1781</v>
      </c>
      <c r="AB67" s="31">
        <v>1787</v>
      </c>
      <c r="AC67" s="31">
        <v>1862</v>
      </c>
      <c r="AD67" s="31">
        <v>1823</v>
      </c>
      <c r="AE67" s="31">
        <v>1789</v>
      </c>
      <c r="AF67" s="31">
        <v>1829</v>
      </c>
      <c r="AG67" s="31">
        <v>1704</v>
      </c>
      <c r="AH67" s="31">
        <v>1596</v>
      </c>
      <c r="AI67" s="31">
        <v>1425</v>
      </c>
      <c r="AJ67" s="31">
        <v>1488</v>
      </c>
      <c r="AK67" s="31">
        <v>1599</v>
      </c>
      <c r="AL67" s="31">
        <v>1678</v>
      </c>
      <c r="AM67" s="31">
        <v>1579</v>
      </c>
      <c r="AN67" s="31">
        <v>1666</v>
      </c>
      <c r="AO67" s="31">
        <v>1591</v>
      </c>
      <c r="AP67" s="31">
        <v>1467</v>
      </c>
      <c r="AQ67" s="31">
        <v>1644</v>
      </c>
      <c r="AR67" s="31">
        <v>1738</v>
      </c>
      <c r="AS67" s="31">
        <v>1586</v>
      </c>
      <c r="AT67" s="31">
        <v>1805</v>
      </c>
      <c r="AU67" s="31">
        <v>1772</v>
      </c>
      <c r="AV67" s="31">
        <v>1791</v>
      </c>
      <c r="AW67" s="31">
        <v>1832</v>
      </c>
      <c r="AX67" s="31">
        <v>1739</v>
      </c>
      <c r="AY67" s="31">
        <v>1840</v>
      </c>
      <c r="AZ67" s="31">
        <v>1839</v>
      </c>
      <c r="BA67" s="31">
        <v>1835</v>
      </c>
      <c r="BB67" s="31">
        <v>1850</v>
      </c>
      <c r="BC67" s="31">
        <v>1792</v>
      </c>
      <c r="BD67" s="31">
        <v>1848</v>
      </c>
      <c r="BE67" s="31">
        <v>1994</v>
      </c>
      <c r="BF67" s="31">
        <v>1923</v>
      </c>
      <c r="BG67" s="31">
        <v>1791</v>
      </c>
      <c r="BH67" s="31">
        <v>1726</v>
      </c>
      <c r="BI67" s="31">
        <v>1677</v>
      </c>
      <c r="BJ67" s="31">
        <v>1920</v>
      </c>
      <c r="BK67" s="31">
        <v>1913</v>
      </c>
      <c r="BL67" s="31">
        <v>1868</v>
      </c>
      <c r="BM67" s="31">
        <v>2054</v>
      </c>
      <c r="BN67" s="31">
        <v>2172</v>
      </c>
      <c r="BO67" s="31">
        <v>2347</v>
      </c>
      <c r="BP67" s="31">
        <v>2313</v>
      </c>
      <c r="BQ67" s="31">
        <v>2391</v>
      </c>
      <c r="BR67" s="31">
        <v>2616</v>
      </c>
      <c r="BS67" s="31">
        <v>2619</v>
      </c>
      <c r="BT67" s="31">
        <v>2648</v>
      </c>
      <c r="BU67" s="31">
        <v>2687</v>
      </c>
      <c r="BV67" s="31">
        <v>2633</v>
      </c>
      <c r="BW67" s="31">
        <v>2706</v>
      </c>
      <c r="BX67" s="31">
        <v>2612</v>
      </c>
      <c r="BY67" s="31">
        <v>2561</v>
      </c>
      <c r="BZ67" s="31">
        <v>2457</v>
      </c>
      <c r="CA67" s="31">
        <v>2400</v>
      </c>
      <c r="CB67" s="31">
        <v>2364</v>
      </c>
      <c r="CC67" s="31">
        <v>2351</v>
      </c>
      <c r="CD67" s="31">
        <v>2299</v>
      </c>
      <c r="CE67" s="31">
        <v>2152</v>
      </c>
      <c r="CF67" s="31">
        <v>2161</v>
      </c>
      <c r="CG67" s="31">
        <v>2038</v>
      </c>
      <c r="CH67" s="31">
        <v>2029</v>
      </c>
      <c r="CI67" s="31">
        <v>1954</v>
      </c>
      <c r="CJ67" s="31">
        <v>1974</v>
      </c>
      <c r="CK67" s="31">
        <v>2081</v>
      </c>
      <c r="CL67" s="31">
        <v>2004</v>
      </c>
      <c r="CM67" s="31">
        <v>1964</v>
      </c>
      <c r="CN67" s="31">
        <v>1486</v>
      </c>
      <c r="CO67" s="31">
        <v>1334</v>
      </c>
      <c r="CP67" s="31">
        <v>1386</v>
      </c>
      <c r="CQ67" s="31">
        <v>1238</v>
      </c>
      <c r="CR67" s="31">
        <v>1065</v>
      </c>
      <c r="CS67" s="31">
        <v>841</v>
      </c>
      <c r="CT67" s="31">
        <v>857</v>
      </c>
      <c r="CU67" s="31">
        <v>748</v>
      </c>
      <c r="CV67" s="31">
        <v>622</v>
      </c>
      <c r="CW67" s="31">
        <v>586</v>
      </c>
      <c r="CX67" s="31">
        <v>426</v>
      </c>
      <c r="CY67" s="31">
        <v>442</v>
      </c>
      <c r="CZ67" s="31">
        <v>349</v>
      </c>
      <c r="DA67" s="32">
        <v>1135</v>
      </c>
      <c r="DB67" s="55">
        <v>1136</v>
      </c>
      <c r="DC67" s="31">
        <v>1282</v>
      </c>
      <c r="DD67" s="31">
        <v>1215</v>
      </c>
      <c r="DE67" s="31">
        <v>1270</v>
      </c>
      <c r="DF67" s="31">
        <v>1362</v>
      </c>
      <c r="DG67" s="31">
        <v>1388</v>
      </c>
      <c r="DH67" s="31">
        <v>1332</v>
      </c>
      <c r="DI67" s="31">
        <v>1575</v>
      </c>
      <c r="DJ67" s="31">
        <v>1660</v>
      </c>
      <c r="DK67" s="31">
        <v>1544</v>
      </c>
      <c r="DL67" s="31">
        <v>1619</v>
      </c>
      <c r="DM67" s="31">
        <v>1716</v>
      </c>
      <c r="DN67" s="31">
        <v>1637</v>
      </c>
      <c r="DO67" s="31">
        <v>1762</v>
      </c>
      <c r="DP67" s="31">
        <v>1756</v>
      </c>
      <c r="DQ67" s="31">
        <v>1735</v>
      </c>
      <c r="DR67" s="31">
        <v>1674</v>
      </c>
      <c r="DS67" s="31">
        <v>1663</v>
      </c>
      <c r="DT67" s="31">
        <v>1516</v>
      </c>
      <c r="DU67" s="31">
        <v>1348</v>
      </c>
      <c r="DV67" s="31">
        <v>1154</v>
      </c>
      <c r="DW67" s="31">
        <v>1190</v>
      </c>
      <c r="DX67" s="31">
        <v>1173</v>
      </c>
      <c r="DY67" s="31">
        <v>1316</v>
      </c>
      <c r="DZ67" s="31">
        <v>1340</v>
      </c>
      <c r="EA67" s="31">
        <v>1376</v>
      </c>
      <c r="EB67" s="31">
        <v>1453</v>
      </c>
      <c r="EC67" s="31">
        <v>1537</v>
      </c>
      <c r="ED67" s="31">
        <v>1523</v>
      </c>
      <c r="EE67" s="31">
        <v>1641</v>
      </c>
      <c r="EF67" s="31">
        <v>1721</v>
      </c>
      <c r="EG67" s="31">
        <v>1814</v>
      </c>
      <c r="EH67" s="31">
        <v>1739</v>
      </c>
      <c r="EI67" s="31">
        <v>1774</v>
      </c>
      <c r="EJ67" s="31">
        <v>1872</v>
      </c>
      <c r="EK67" s="31">
        <v>1796</v>
      </c>
      <c r="EL67" s="31">
        <v>1876</v>
      </c>
      <c r="EM67" s="31">
        <v>1892</v>
      </c>
      <c r="EN67" s="31">
        <v>1868</v>
      </c>
      <c r="EO67" s="31">
        <v>1893</v>
      </c>
      <c r="EP67" s="31">
        <v>1957</v>
      </c>
      <c r="EQ67" s="31">
        <v>2031</v>
      </c>
      <c r="ER67" s="31">
        <v>2020</v>
      </c>
      <c r="ES67" s="31">
        <v>2040</v>
      </c>
      <c r="ET67" s="31">
        <v>1873</v>
      </c>
      <c r="EU67" s="31">
        <v>1780</v>
      </c>
      <c r="EV67" s="31">
        <v>1857</v>
      </c>
      <c r="EW67" s="31">
        <v>1920</v>
      </c>
      <c r="EX67" s="31">
        <v>2005</v>
      </c>
      <c r="EY67" s="31">
        <v>2085</v>
      </c>
      <c r="EZ67" s="31">
        <v>2234</v>
      </c>
      <c r="FA67" s="31">
        <v>2455</v>
      </c>
      <c r="FB67" s="31">
        <v>2489</v>
      </c>
      <c r="FC67" s="31">
        <v>2616</v>
      </c>
      <c r="FD67" s="31">
        <v>2622</v>
      </c>
      <c r="FE67" s="31">
        <v>2714</v>
      </c>
      <c r="FF67" s="31">
        <v>2678</v>
      </c>
      <c r="FG67" s="31">
        <v>2751</v>
      </c>
      <c r="FH67" s="31">
        <v>2996</v>
      </c>
      <c r="FI67" s="31">
        <v>2984</v>
      </c>
      <c r="FJ67" s="31">
        <v>2727</v>
      </c>
      <c r="FK67" s="31">
        <v>2592</v>
      </c>
      <c r="FL67" s="31">
        <v>2660</v>
      </c>
      <c r="FM67" s="31">
        <v>2547</v>
      </c>
      <c r="FN67" s="31">
        <v>2543</v>
      </c>
      <c r="FO67" s="31">
        <v>2548</v>
      </c>
      <c r="FP67" s="31">
        <v>2378</v>
      </c>
      <c r="FQ67" s="31">
        <v>2334</v>
      </c>
      <c r="FR67" s="31">
        <v>2232</v>
      </c>
      <c r="FS67" s="31">
        <v>2176</v>
      </c>
      <c r="FT67" s="31">
        <v>2267</v>
      </c>
      <c r="FU67" s="31">
        <v>2103</v>
      </c>
      <c r="FV67" s="31">
        <v>2088</v>
      </c>
      <c r="FW67" s="31">
        <v>2066</v>
      </c>
      <c r="FX67" s="31">
        <v>2039</v>
      </c>
      <c r="FY67" s="31">
        <v>2136</v>
      </c>
      <c r="FZ67" s="31">
        <v>2197</v>
      </c>
      <c r="GA67" s="31">
        <v>1654</v>
      </c>
      <c r="GB67" s="31">
        <v>1534</v>
      </c>
      <c r="GC67" s="31">
        <v>1528</v>
      </c>
      <c r="GD67" s="31">
        <v>1463</v>
      </c>
      <c r="GE67" s="31">
        <v>1319</v>
      </c>
      <c r="GF67" s="31">
        <v>1154</v>
      </c>
      <c r="GG67" s="31">
        <v>1130</v>
      </c>
      <c r="GH67" s="31">
        <v>997</v>
      </c>
      <c r="GI67" s="31">
        <v>956</v>
      </c>
      <c r="GJ67" s="31">
        <v>833</v>
      </c>
      <c r="GK67" s="31">
        <v>764</v>
      </c>
      <c r="GL67" s="31">
        <v>688</v>
      </c>
      <c r="GM67" s="31">
        <v>590</v>
      </c>
      <c r="GN67" s="32">
        <v>2085</v>
      </c>
    </row>
    <row r="68" spans="1:196" s="1" customFormat="1" x14ac:dyDescent="0.2">
      <c r="A68" s="56" t="s">
        <v>1038</v>
      </c>
      <c r="B68" s="286" t="s">
        <v>1032</v>
      </c>
      <c r="C68" s="67" t="str">
        <f t="shared" si="24"/>
        <v>Health Board - Lanarkshire</v>
      </c>
      <c r="D68" s="38">
        <f t="shared" si="35"/>
        <v>309215</v>
      </c>
      <c r="E68" s="38">
        <f t="shared" si="36"/>
        <v>330163</v>
      </c>
      <c r="F68" s="54">
        <f t="shared" si="37"/>
        <v>672170</v>
      </c>
      <c r="G68" s="33">
        <f t="shared" si="38"/>
        <v>325986</v>
      </c>
      <c r="H68" s="34">
        <f t="shared" si="39"/>
        <v>346184</v>
      </c>
      <c r="I68" s="390">
        <f t="shared" si="29"/>
        <v>309215</v>
      </c>
      <c r="J68" s="390">
        <f t="shared" si="30"/>
        <v>330163</v>
      </c>
      <c r="K68" s="38">
        <f t="shared" si="31"/>
        <v>46410</v>
      </c>
      <c r="L68" s="38">
        <f t="shared" si="32"/>
        <v>44177</v>
      </c>
      <c r="M68" s="38">
        <f t="shared" si="33"/>
        <v>282806</v>
      </c>
      <c r="N68" s="38">
        <f t="shared" si="34"/>
        <v>305277</v>
      </c>
      <c r="O68" s="31">
        <v>3125</v>
      </c>
      <c r="P68" s="31">
        <v>3245</v>
      </c>
      <c r="Q68" s="31">
        <v>3423</v>
      </c>
      <c r="R68" s="31">
        <v>3304</v>
      </c>
      <c r="S68" s="31">
        <v>3674</v>
      </c>
      <c r="T68" s="31">
        <v>3480</v>
      </c>
      <c r="U68" s="31">
        <v>3754</v>
      </c>
      <c r="V68" s="31">
        <v>3605</v>
      </c>
      <c r="W68" s="31">
        <v>3938</v>
      </c>
      <c r="X68" s="31">
        <v>3701</v>
      </c>
      <c r="Y68" s="31">
        <v>3861</v>
      </c>
      <c r="Z68" s="31">
        <v>4070</v>
      </c>
      <c r="AA68" s="31">
        <v>3954</v>
      </c>
      <c r="AB68" s="31">
        <v>4018</v>
      </c>
      <c r="AC68" s="31">
        <v>3956</v>
      </c>
      <c r="AD68" s="31">
        <v>4134</v>
      </c>
      <c r="AE68" s="31">
        <v>3939</v>
      </c>
      <c r="AF68" s="31">
        <v>3935</v>
      </c>
      <c r="AG68" s="31">
        <v>3651</v>
      </c>
      <c r="AH68" s="31">
        <v>3863</v>
      </c>
      <c r="AI68" s="31">
        <v>3423</v>
      </c>
      <c r="AJ68" s="31">
        <v>3635</v>
      </c>
      <c r="AK68" s="31">
        <v>3628</v>
      </c>
      <c r="AL68" s="31">
        <v>3946</v>
      </c>
      <c r="AM68" s="31">
        <v>3928</v>
      </c>
      <c r="AN68" s="31">
        <v>3654</v>
      </c>
      <c r="AO68" s="31">
        <v>3945</v>
      </c>
      <c r="AP68" s="31">
        <v>3800</v>
      </c>
      <c r="AQ68" s="31">
        <v>3733</v>
      </c>
      <c r="AR68" s="31">
        <v>3956</v>
      </c>
      <c r="AS68" s="31">
        <v>3972</v>
      </c>
      <c r="AT68" s="31">
        <v>4254</v>
      </c>
      <c r="AU68" s="31">
        <v>4204</v>
      </c>
      <c r="AV68" s="31">
        <v>4145</v>
      </c>
      <c r="AW68" s="31">
        <v>4077</v>
      </c>
      <c r="AX68" s="31">
        <v>4373</v>
      </c>
      <c r="AY68" s="31">
        <v>3874</v>
      </c>
      <c r="AZ68" s="31">
        <v>4197</v>
      </c>
      <c r="BA68" s="31">
        <v>4231</v>
      </c>
      <c r="BB68" s="31">
        <v>4146</v>
      </c>
      <c r="BC68" s="31">
        <v>4326</v>
      </c>
      <c r="BD68" s="31">
        <v>4255</v>
      </c>
      <c r="BE68" s="31">
        <v>4548</v>
      </c>
      <c r="BF68" s="31">
        <v>4422</v>
      </c>
      <c r="BG68" s="31">
        <v>4218</v>
      </c>
      <c r="BH68" s="31">
        <v>3819</v>
      </c>
      <c r="BI68" s="31">
        <v>3704</v>
      </c>
      <c r="BJ68" s="31">
        <v>3987</v>
      </c>
      <c r="BK68" s="31">
        <v>4144</v>
      </c>
      <c r="BL68" s="31">
        <v>4146</v>
      </c>
      <c r="BM68" s="31">
        <v>4390</v>
      </c>
      <c r="BN68" s="31">
        <v>4588</v>
      </c>
      <c r="BO68" s="31">
        <v>4918</v>
      </c>
      <c r="BP68" s="31">
        <v>4959</v>
      </c>
      <c r="BQ68" s="31">
        <v>5064</v>
      </c>
      <c r="BR68" s="31">
        <v>5136</v>
      </c>
      <c r="BS68" s="31">
        <v>5180</v>
      </c>
      <c r="BT68" s="31">
        <v>5019</v>
      </c>
      <c r="BU68" s="31">
        <v>5046</v>
      </c>
      <c r="BV68" s="31">
        <v>5035</v>
      </c>
      <c r="BW68" s="31">
        <v>4838</v>
      </c>
      <c r="BX68" s="31">
        <v>4817</v>
      </c>
      <c r="BY68" s="31">
        <v>4513</v>
      </c>
      <c r="BZ68" s="31">
        <v>4454</v>
      </c>
      <c r="CA68" s="31">
        <v>4193</v>
      </c>
      <c r="CB68" s="31">
        <v>4152</v>
      </c>
      <c r="CC68" s="31">
        <v>3984</v>
      </c>
      <c r="CD68" s="31">
        <v>3824</v>
      </c>
      <c r="CE68" s="31">
        <v>3585</v>
      </c>
      <c r="CF68" s="31">
        <v>3497</v>
      </c>
      <c r="CG68" s="31">
        <v>3419</v>
      </c>
      <c r="CH68" s="31">
        <v>3166</v>
      </c>
      <c r="CI68" s="31">
        <v>3022</v>
      </c>
      <c r="CJ68" s="31">
        <v>2972</v>
      </c>
      <c r="CK68" s="31">
        <v>2974</v>
      </c>
      <c r="CL68" s="31">
        <v>2903</v>
      </c>
      <c r="CM68" s="31">
        <v>2995</v>
      </c>
      <c r="CN68" s="31">
        <v>2234</v>
      </c>
      <c r="CO68" s="31">
        <v>1987</v>
      </c>
      <c r="CP68" s="31">
        <v>1930</v>
      </c>
      <c r="CQ68" s="31">
        <v>1772</v>
      </c>
      <c r="CR68" s="31">
        <v>1515</v>
      </c>
      <c r="CS68" s="31">
        <v>1291</v>
      </c>
      <c r="CT68" s="31">
        <v>1173</v>
      </c>
      <c r="CU68" s="31">
        <v>1100</v>
      </c>
      <c r="CV68" s="31">
        <v>1048</v>
      </c>
      <c r="CW68" s="31">
        <v>828</v>
      </c>
      <c r="CX68" s="31">
        <v>716</v>
      </c>
      <c r="CY68" s="31">
        <v>537</v>
      </c>
      <c r="CZ68" s="31">
        <v>446</v>
      </c>
      <c r="DA68" s="32">
        <v>1446</v>
      </c>
      <c r="DB68" s="55">
        <v>3088</v>
      </c>
      <c r="DC68" s="31">
        <v>3082</v>
      </c>
      <c r="DD68" s="31">
        <v>3162</v>
      </c>
      <c r="DE68" s="31">
        <v>3203</v>
      </c>
      <c r="DF68" s="31">
        <v>3486</v>
      </c>
      <c r="DG68" s="31">
        <v>3367</v>
      </c>
      <c r="DH68" s="31">
        <v>3467</v>
      </c>
      <c r="DI68" s="31">
        <v>3392</v>
      </c>
      <c r="DJ68" s="31">
        <v>3684</v>
      </c>
      <c r="DK68" s="31">
        <v>3605</v>
      </c>
      <c r="DL68" s="31">
        <v>3686</v>
      </c>
      <c r="DM68" s="31">
        <v>3685</v>
      </c>
      <c r="DN68" s="31">
        <v>3812</v>
      </c>
      <c r="DO68" s="31">
        <v>3985</v>
      </c>
      <c r="DP68" s="31">
        <v>3910</v>
      </c>
      <c r="DQ68" s="31">
        <v>3859</v>
      </c>
      <c r="DR68" s="31">
        <v>3725</v>
      </c>
      <c r="DS68" s="31">
        <v>3855</v>
      </c>
      <c r="DT68" s="31">
        <v>3451</v>
      </c>
      <c r="DU68" s="31">
        <v>3555</v>
      </c>
      <c r="DV68" s="31">
        <v>3361</v>
      </c>
      <c r="DW68" s="31">
        <v>3512</v>
      </c>
      <c r="DX68" s="31">
        <v>3556</v>
      </c>
      <c r="DY68" s="31">
        <v>3810</v>
      </c>
      <c r="DZ68" s="31">
        <v>3743</v>
      </c>
      <c r="EA68" s="31">
        <v>3786</v>
      </c>
      <c r="EB68" s="31">
        <v>3896</v>
      </c>
      <c r="EC68" s="31">
        <v>3856</v>
      </c>
      <c r="ED68" s="31">
        <v>4043</v>
      </c>
      <c r="EE68" s="31">
        <v>4089</v>
      </c>
      <c r="EF68" s="31">
        <v>4192</v>
      </c>
      <c r="EG68" s="31">
        <v>4521</v>
      </c>
      <c r="EH68" s="31">
        <v>4575</v>
      </c>
      <c r="EI68" s="31">
        <v>4422</v>
      </c>
      <c r="EJ68" s="31">
        <v>4476</v>
      </c>
      <c r="EK68" s="31">
        <v>4554</v>
      </c>
      <c r="EL68" s="31">
        <v>4340</v>
      </c>
      <c r="EM68" s="31">
        <v>4540</v>
      </c>
      <c r="EN68" s="31">
        <v>4630</v>
      </c>
      <c r="EO68" s="31">
        <v>4512</v>
      </c>
      <c r="EP68" s="31">
        <v>4551</v>
      </c>
      <c r="EQ68" s="31">
        <v>4540</v>
      </c>
      <c r="ER68" s="31">
        <v>4786</v>
      </c>
      <c r="ES68" s="31">
        <v>4506</v>
      </c>
      <c r="ET68" s="31">
        <v>4307</v>
      </c>
      <c r="EU68" s="31">
        <v>4233</v>
      </c>
      <c r="EV68" s="31">
        <v>3928</v>
      </c>
      <c r="EW68" s="31">
        <v>4307</v>
      </c>
      <c r="EX68" s="31">
        <v>4315</v>
      </c>
      <c r="EY68" s="31">
        <v>4375</v>
      </c>
      <c r="EZ68" s="31">
        <v>4641</v>
      </c>
      <c r="FA68" s="31">
        <v>4979</v>
      </c>
      <c r="FB68" s="31">
        <v>5205</v>
      </c>
      <c r="FC68" s="31">
        <v>5231</v>
      </c>
      <c r="FD68" s="31">
        <v>5358</v>
      </c>
      <c r="FE68" s="31">
        <v>5387</v>
      </c>
      <c r="FF68" s="31">
        <v>5395</v>
      </c>
      <c r="FG68" s="31">
        <v>5311</v>
      </c>
      <c r="FH68" s="31">
        <v>5325</v>
      </c>
      <c r="FI68" s="31">
        <v>5464</v>
      </c>
      <c r="FJ68" s="31">
        <v>5317</v>
      </c>
      <c r="FK68" s="31">
        <v>5058</v>
      </c>
      <c r="FL68" s="31">
        <v>4756</v>
      </c>
      <c r="FM68" s="31">
        <v>4756</v>
      </c>
      <c r="FN68" s="31">
        <v>4679</v>
      </c>
      <c r="FO68" s="31">
        <v>4652</v>
      </c>
      <c r="FP68" s="31">
        <v>4369</v>
      </c>
      <c r="FQ68" s="31">
        <v>4188</v>
      </c>
      <c r="FR68" s="31">
        <v>4151</v>
      </c>
      <c r="FS68" s="31">
        <v>3866</v>
      </c>
      <c r="FT68" s="31">
        <v>3705</v>
      </c>
      <c r="FU68" s="31">
        <v>3563</v>
      </c>
      <c r="FV68" s="31">
        <v>3384</v>
      </c>
      <c r="FW68" s="31">
        <v>3333</v>
      </c>
      <c r="FX68" s="31">
        <v>3432</v>
      </c>
      <c r="FY68" s="31">
        <v>3457</v>
      </c>
      <c r="FZ68" s="31">
        <v>3491</v>
      </c>
      <c r="GA68" s="31">
        <v>2655</v>
      </c>
      <c r="GB68" s="31">
        <v>2444</v>
      </c>
      <c r="GC68" s="31">
        <v>2524</v>
      </c>
      <c r="GD68" s="31">
        <v>2392</v>
      </c>
      <c r="GE68" s="31">
        <v>2164</v>
      </c>
      <c r="GF68" s="31">
        <v>1858</v>
      </c>
      <c r="GG68" s="31">
        <v>1809</v>
      </c>
      <c r="GH68" s="31">
        <v>1746</v>
      </c>
      <c r="GI68" s="31">
        <v>1479</v>
      </c>
      <c r="GJ68" s="31">
        <v>1290</v>
      </c>
      <c r="GK68" s="31">
        <v>1264</v>
      </c>
      <c r="GL68" s="31">
        <v>1070</v>
      </c>
      <c r="GM68" s="31">
        <v>840</v>
      </c>
      <c r="GN68" s="32">
        <v>2875</v>
      </c>
    </row>
    <row r="69" spans="1:196" s="1" customFormat="1" x14ac:dyDescent="0.2">
      <c r="A69" s="56" t="s">
        <v>1038</v>
      </c>
      <c r="B69" s="286" t="s">
        <v>1033</v>
      </c>
      <c r="C69" s="67" t="str">
        <f t="shared" si="24"/>
        <v>Health Board - Lothian</v>
      </c>
      <c r="D69" s="38">
        <f t="shared" si="35"/>
        <v>422763</v>
      </c>
      <c r="E69" s="38">
        <f t="shared" si="36"/>
        <v>454073</v>
      </c>
      <c r="F69" s="54">
        <f t="shared" si="37"/>
        <v>919060</v>
      </c>
      <c r="G69" s="33">
        <f t="shared" si="38"/>
        <v>444365</v>
      </c>
      <c r="H69" s="34">
        <f t="shared" si="39"/>
        <v>474695</v>
      </c>
      <c r="I69" s="390">
        <f t="shared" si="29"/>
        <v>422763</v>
      </c>
      <c r="J69" s="390">
        <f t="shared" si="30"/>
        <v>454073</v>
      </c>
      <c r="K69" s="38">
        <f t="shared" si="31"/>
        <v>59491</v>
      </c>
      <c r="L69" s="38">
        <f t="shared" si="32"/>
        <v>56436</v>
      </c>
      <c r="M69" s="38">
        <f t="shared" si="33"/>
        <v>388419</v>
      </c>
      <c r="N69" s="38">
        <f t="shared" si="34"/>
        <v>421650</v>
      </c>
      <c r="O69" s="31">
        <v>4143</v>
      </c>
      <c r="P69" s="31">
        <v>4334</v>
      </c>
      <c r="Q69" s="31">
        <v>4323</v>
      </c>
      <c r="R69" s="31">
        <v>4298</v>
      </c>
      <c r="S69" s="31">
        <v>4504</v>
      </c>
      <c r="T69" s="31">
        <v>4587</v>
      </c>
      <c r="U69" s="31">
        <v>4653</v>
      </c>
      <c r="V69" s="31">
        <v>4976</v>
      </c>
      <c r="W69" s="31">
        <v>4903</v>
      </c>
      <c r="X69" s="31">
        <v>4998</v>
      </c>
      <c r="Y69" s="31">
        <v>5071</v>
      </c>
      <c r="Z69" s="31">
        <v>5156</v>
      </c>
      <c r="AA69" s="31">
        <v>5064</v>
      </c>
      <c r="AB69" s="31">
        <v>5010</v>
      </c>
      <c r="AC69" s="31">
        <v>5108</v>
      </c>
      <c r="AD69" s="31">
        <v>5030</v>
      </c>
      <c r="AE69" s="31">
        <v>4935</v>
      </c>
      <c r="AF69" s="31">
        <v>4865</v>
      </c>
      <c r="AG69" s="31">
        <v>4753</v>
      </c>
      <c r="AH69" s="31">
        <v>5877</v>
      </c>
      <c r="AI69" s="31">
        <v>6602</v>
      </c>
      <c r="AJ69" s="31">
        <v>6669</v>
      </c>
      <c r="AK69" s="31">
        <v>6761</v>
      </c>
      <c r="AL69" s="31">
        <v>7241</v>
      </c>
      <c r="AM69" s="31">
        <v>6903</v>
      </c>
      <c r="AN69" s="31">
        <v>6485</v>
      </c>
      <c r="AO69" s="31">
        <v>6535</v>
      </c>
      <c r="AP69" s="31">
        <v>6476</v>
      </c>
      <c r="AQ69" s="31">
        <v>6550</v>
      </c>
      <c r="AR69" s="31">
        <v>6593</v>
      </c>
      <c r="AS69" s="31">
        <v>6534</v>
      </c>
      <c r="AT69" s="31">
        <v>6666</v>
      </c>
      <c r="AU69" s="31">
        <v>7179</v>
      </c>
      <c r="AV69" s="31">
        <v>6666</v>
      </c>
      <c r="AW69" s="31">
        <v>6671</v>
      </c>
      <c r="AX69" s="31">
        <v>6769</v>
      </c>
      <c r="AY69" s="31">
        <v>6547</v>
      </c>
      <c r="AZ69" s="31">
        <v>6465</v>
      </c>
      <c r="BA69" s="31">
        <v>6295</v>
      </c>
      <c r="BB69" s="31">
        <v>6141</v>
      </c>
      <c r="BC69" s="31">
        <v>6210</v>
      </c>
      <c r="BD69" s="31">
        <v>6081</v>
      </c>
      <c r="BE69" s="31">
        <v>6105</v>
      </c>
      <c r="BF69" s="31">
        <v>6171</v>
      </c>
      <c r="BG69" s="31">
        <v>5959</v>
      </c>
      <c r="BH69" s="31">
        <v>5330</v>
      </c>
      <c r="BI69" s="31">
        <v>5315</v>
      </c>
      <c r="BJ69" s="31">
        <v>5424</v>
      </c>
      <c r="BK69" s="31">
        <v>5478</v>
      </c>
      <c r="BL69" s="31">
        <v>5656</v>
      </c>
      <c r="BM69" s="31">
        <v>5550</v>
      </c>
      <c r="BN69" s="31">
        <v>5716</v>
      </c>
      <c r="BO69" s="31">
        <v>5956</v>
      </c>
      <c r="BP69" s="31">
        <v>5723</v>
      </c>
      <c r="BQ69" s="31">
        <v>5989</v>
      </c>
      <c r="BR69" s="31">
        <v>6082</v>
      </c>
      <c r="BS69" s="31">
        <v>5975</v>
      </c>
      <c r="BT69" s="31">
        <v>5692</v>
      </c>
      <c r="BU69" s="31">
        <v>6065</v>
      </c>
      <c r="BV69" s="31">
        <v>5724</v>
      </c>
      <c r="BW69" s="31">
        <v>5879</v>
      </c>
      <c r="BX69" s="31">
        <v>5477</v>
      </c>
      <c r="BY69" s="31">
        <v>5386</v>
      </c>
      <c r="BZ69" s="31">
        <v>5188</v>
      </c>
      <c r="CA69" s="31">
        <v>5015</v>
      </c>
      <c r="CB69" s="31">
        <v>4865</v>
      </c>
      <c r="CC69" s="31">
        <v>4651</v>
      </c>
      <c r="CD69" s="31">
        <v>4462</v>
      </c>
      <c r="CE69" s="31">
        <v>4036</v>
      </c>
      <c r="CF69" s="31">
        <v>4045</v>
      </c>
      <c r="CG69" s="31">
        <v>3861</v>
      </c>
      <c r="CH69" s="31">
        <v>3749</v>
      </c>
      <c r="CI69" s="31">
        <v>3637</v>
      </c>
      <c r="CJ69" s="31">
        <v>3617</v>
      </c>
      <c r="CK69" s="31">
        <v>3606</v>
      </c>
      <c r="CL69" s="31">
        <v>3644</v>
      </c>
      <c r="CM69" s="31">
        <v>3880</v>
      </c>
      <c r="CN69" s="31">
        <v>2805</v>
      </c>
      <c r="CO69" s="31">
        <v>2590</v>
      </c>
      <c r="CP69" s="31">
        <v>2358</v>
      </c>
      <c r="CQ69" s="31">
        <v>2206</v>
      </c>
      <c r="CR69" s="31">
        <v>1944</v>
      </c>
      <c r="CS69" s="31">
        <v>1622</v>
      </c>
      <c r="CT69" s="31">
        <v>1516</v>
      </c>
      <c r="CU69" s="31">
        <v>1399</v>
      </c>
      <c r="CV69" s="31">
        <v>1316</v>
      </c>
      <c r="CW69" s="31">
        <v>1087</v>
      </c>
      <c r="CX69" s="31">
        <v>1008</v>
      </c>
      <c r="CY69" s="31">
        <v>871</v>
      </c>
      <c r="CZ69" s="31">
        <v>713</v>
      </c>
      <c r="DA69" s="32">
        <v>2395</v>
      </c>
      <c r="DB69" s="55">
        <v>3845</v>
      </c>
      <c r="DC69" s="31">
        <v>4096</v>
      </c>
      <c r="DD69" s="31">
        <v>4266</v>
      </c>
      <c r="DE69" s="31">
        <v>4187</v>
      </c>
      <c r="DF69" s="31">
        <v>4228</v>
      </c>
      <c r="DG69" s="31">
        <v>4310</v>
      </c>
      <c r="DH69" s="31">
        <v>4449</v>
      </c>
      <c r="DI69" s="31">
        <v>4574</v>
      </c>
      <c r="DJ69" s="31">
        <v>4599</v>
      </c>
      <c r="DK69" s="31">
        <v>4778</v>
      </c>
      <c r="DL69" s="31">
        <v>4838</v>
      </c>
      <c r="DM69" s="31">
        <v>4875</v>
      </c>
      <c r="DN69" s="31">
        <v>4905</v>
      </c>
      <c r="DO69" s="31">
        <v>4826</v>
      </c>
      <c r="DP69" s="31">
        <v>4806</v>
      </c>
      <c r="DQ69" s="31">
        <v>4857</v>
      </c>
      <c r="DR69" s="31">
        <v>4619</v>
      </c>
      <c r="DS69" s="31">
        <v>4475</v>
      </c>
      <c r="DT69" s="31">
        <v>4434</v>
      </c>
      <c r="DU69" s="31">
        <v>6255</v>
      </c>
      <c r="DV69" s="31">
        <v>7455</v>
      </c>
      <c r="DW69" s="31">
        <v>7629</v>
      </c>
      <c r="DX69" s="31">
        <v>7749</v>
      </c>
      <c r="DY69" s="31">
        <v>8628</v>
      </c>
      <c r="DZ69" s="31">
        <v>8121</v>
      </c>
      <c r="EA69" s="31">
        <v>7310</v>
      </c>
      <c r="EB69" s="31">
        <v>7048</v>
      </c>
      <c r="EC69" s="31">
        <v>6844</v>
      </c>
      <c r="ED69" s="31">
        <v>6843</v>
      </c>
      <c r="EE69" s="31">
        <v>7262</v>
      </c>
      <c r="EF69" s="31">
        <v>7074</v>
      </c>
      <c r="EG69" s="31">
        <v>7250</v>
      </c>
      <c r="EH69" s="31">
        <v>7378</v>
      </c>
      <c r="EI69" s="31">
        <v>7143</v>
      </c>
      <c r="EJ69" s="31">
        <v>7208</v>
      </c>
      <c r="EK69" s="31">
        <v>7017</v>
      </c>
      <c r="EL69" s="31">
        <v>6901</v>
      </c>
      <c r="EM69" s="31">
        <v>6831</v>
      </c>
      <c r="EN69" s="31">
        <v>6847</v>
      </c>
      <c r="EO69" s="31">
        <v>6568</v>
      </c>
      <c r="EP69" s="31">
        <v>6559</v>
      </c>
      <c r="EQ69" s="31">
        <v>6567</v>
      </c>
      <c r="ER69" s="31">
        <v>6404</v>
      </c>
      <c r="ES69" s="31">
        <v>6217</v>
      </c>
      <c r="ET69" s="31">
        <v>5983</v>
      </c>
      <c r="EU69" s="31">
        <v>5664</v>
      </c>
      <c r="EV69" s="31">
        <v>5440</v>
      </c>
      <c r="EW69" s="31">
        <v>5647</v>
      </c>
      <c r="EX69" s="31">
        <v>5566</v>
      </c>
      <c r="EY69" s="31">
        <v>5589</v>
      </c>
      <c r="EZ69" s="31">
        <v>5845</v>
      </c>
      <c r="FA69" s="31">
        <v>6069</v>
      </c>
      <c r="FB69" s="31">
        <v>6259</v>
      </c>
      <c r="FC69" s="31">
        <v>6118</v>
      </c>
      <c r="FD69" s="31">
        <v>6243</v>
      </c>
      <c r="FE69" s="31">
        <v>6387</v>
      </c>
      <c r="FF69" s="31">
        <v>6175</v>
      </c>
      <c r="FG69" s="31">
        <v>6108</v>
      </c>
      <c r="FH69" s="31">
        <v>6265</v>
      </c>
      <c r="FI69" s="31">
        <v>6163</v>
      </c>
      <c r="FJ69" s="31">
        <v>6101</v>
      </c>
      <c r="FK69" s="31">
        <v>5790</v>
      </c>
      <c r="FL69" s="31">
        <v>5670</v>
      </c>
      <c r="FM69" s="31">
        <v>5550</v>
      </c>
      <c r="FN69" s="31">
        <v>5368</v>
      </c>
      <c r="FO69" s="31">
        <v>5262</v>
      </c>
      <c r="FP69" s="31">
        <v>5004</v>
      </c>
      <c r="FQ69" s="31">
        <v>4631</v>
      </c>
      <c r="FR69" s="31">
        <v>4504</v>
      </c>
      <c r="FS69" s="31">
        <v>4400</v>
      </c>
      <c r="FT69" s="31">
        <v>4358</v>
      </c>
      <c r="FU69" s="31">
        <v>4133</v>
      </c>
      <c r="FV69" s="31">
        <v>4213</v>
      </c>
      <c r="FW69" s="31">
        <v>4155</v>
      </c>
      <c r="FX69" s="31">
        <v>4224</v>
      </c>
      <c r="FY69" s="31">
        <v>4277</v>
      </c>
      <c r="FZ69" s="31">
        <v>4499</v>
      </c>
      <c r="GA69" s="31">
        <v>3403</v>
      </c>
      <c r="GB69" s="31">
        <v>3020</v>
      </c>
      <c r="GC69" s="31">
        <v>3026</v>
      </c>
      <c r="GD69" s="31">
        <v>2835</v>
      </c>
      <c r="GE69" s="31">
        <v>2523</v>
      </c>
      <c r="GF69" s="31">
        <v>2326</v>
      </c>
      <c r="GG69" s="31">
        <v>2233</v>
      </c>
      <c r="GH69" s="31">
        <v>2023</v>
      </c>
      <c r="GI69" s="31">
        <v>1987</v>
      </c>
      <c r="GJ69" s="31">
        <v>1672</v>
      </c>
      <c r="GK69" s="31">
        <v>1572</v>
      </c>
      <c r="GL69" s="31">
        <v>1334</v>
      </c>
      <c r="GM69" s="31">
        <v>1265</v>
      </c>
      <c r="GN69" s="32">
        <v>4741</v>
      </c>
    </row>
    <row r="70" spans="1:196" s="1" customFormat="1" x14ac:dyDescent="0.2">
      <c r="A70" s="56" t="s">
        <v>1038</v>
      </c>
      <c r="B70" s="286" t="s">
        <v>1034</v>
      </c>
      <c r="C70" s="67" t="str">
        <f t="shared" si="24"/>
        <v>Health Board - Orkney</v>
      </c>
      <c r="D70" s="38">
        <f t="shared" si="35"/>
        <v>10306</v>
      </c>
      <c r="E70" s="38">
        <f t="shared" si="36"/>
        <v>10761</v>
      </c>
      <c r="F70" s="54">
        <f t="shared" si="37"/>
        <v>22000</v>
      </c>
      <c r="G70" s="33">
        <f t="shared" si="38"/>
        <v>10804</v>
      </c>
      <c r="H70" s="34">
        <f t="shared" si="39"/>
        <v>11196</v>
      </c>
      <c r="I70" s="390">
        <f t="shared" si="29"/>
        <v>10306</v>
      </c>
      <c r="J70" s="390">
        <f t="shared" si="30"/>
        <v>10761</v>
      </c>
      <c r="K70" s="38">
        <f t="shared" si="31"/>
        <v>1429</v>
      </c>
      <c r="L70" s="38">
        <f t="shared" si="32"/>
        <v>1338</v>
      </c>
      <c r="M70" s="38">
        <f t="shared" si="33"/>
        <v>9497</v>
      </c>
      <c r="N70" s="38">
        <f t="shared" si="34"/>
        <v>10020</v>
      </c>
      <c r="O70" s="31">
        <v>95</v>
      </c>
      <c r="P70" s="31">
        <v>91</v>
      </c>
      <c r="Q70" s="31">
        <v>91</v>
      </c>
      <c r="R70" s="31">
        <v>113</v>
      </c>
      <c r="S70" s="31">
        <v>108</v>
      </c>
      <c r="T70" s="31">
        <v>91</v>
      </c>
      <c r="U70" s="31">
        <v>113</v>
      </c>
      <c r="V70" s="31">
        <v>101</v>
      </c>
      <c r="W70" s="31">
        <v>119</v>
      </c>
      <c r="X70" s="31">
        <v>117</v>
      </c>
      <c r="Y70" s="31">
        <v>142</v>
      </c>
      <c r="Z70" s="31">
        <v>126</v>
      </c>
      <c r="AA70" s="31">
        <v>127</v>
      </c>
      <c r="AB70" s="31">
        <v>110</v>
      </c>
      <c r="AC70" s="31">
        <v>142</v>
      </c>
      <c r="AD70" s="31">
        <v>112</v>
      </c>
      <c r="AE70" s="31">
        <v>129</v>
      </c>
      <c r="AF70" s="31">
        <v>119</v>
      </c>
      <c r="AG70" s="31">
        <v>104</v>
      </c>
      <c r="AH70" s="31">
        <v>102</v>
      </c>
      <c r="AI70" s="31">
        <v>68</v>
      </c>
      <c r="AJ70" s="31">
        <v>85</v>
      </c>
      <c r="AK70" s="31">
        <v>80</v>
      </c>
      <c r="AL70" s="31">
        <v>81</v>
      </c>
      <c r="AM70" s="31">
        <v>95</v>
      </c>
      <c r="AN70" s="31">
        <v>93</v>
      </c>
      <c r="AO70" s="31">
        <v>108</v>
      </c>
      <c r="AP70" s="31">
        <v>118</v>
      </c>
      <c r="AQ70" s="31">
        <v>105</v>
      </c>
      <c r="AR70" s="31">
        <v>101</v>
      </c>
      <c r="AS70" s="31">
        <v>102</v>
      </c>
      <c r="AT70" s="31">
        <v>144</v>
      </c>
      <c r="AU70" s="31">
        <v>112</v>
      </c>
      <c r="AV70" s="31">
        <v>154</v>
      </c>
      <c r="AW70" s="31">
        <v>121</v>
      </c>
      <c r="AX70" s="31">
        <v>125</v>
      </c>
      <c r="AY70" s="31">
        <v>126</v>
      </c>
      <c r="AZ70" s="31">
        <v>109</v>
      </c>
      <c r="BA70" s="31">
        <v>138</v>
      </c>
      <c r="BB70" s="31">
        <v>102</v>
      </c>
      <c r="BC70" s="31">
        <v>114</v>
      </c>
      <c r="BD70" s="31">
        <v>111</v>
      </c>
      <c r="BE70" s="31">
        <v>104</v>
      </c>
      <c r="BF70" s="31">
        <v>126</v>
      </c>
      <c r="BG70" s="31">
        <v>104</v>
      </c>
      <c r="BH70" s="31">
        <v>108</v>
      </c>
      <c r="BI70" s="31">
        <v>106</v>
      </c>
      <c r="BJ70" s="31">
        <v>133</v>
      </c>
      <c r="BK70" s="31">
        <v>114</v>
      </c>
      <c r="BL70" s="31">
        <v>98</v>
      </c>
      <c r="BM70" s="31">
        <v>139</v>
      </c>
      <c r="BN70" s="31">
        <v>158</v>
      </c>
      <c r="BO70" s="31">
        <v>139</v>
      </c>
      <c r="BP70" s="31">
        <v>188</v>
      </c>
      <c r="BQ70" s="31">
        <v>169</v>
      </c>
      <c r="BR70" s="31">
        <v>166</v>
      </c>
      <c r="BS70" s="31">
        <v>186</v>
      </c>
      <c r="BT70" s="31">
        <v>186</v>
      </c>
      <c r="BU70" s="31">
        <v>180</v>
      </c>
      <c r="BV70" s="31">
        <v>196</v>
      </c>
      <c r="BW70" s="31">
        <v>206</v>
      </c>
      <c r="BX70" s="31">
        <v>175</v>
      </c>
      <c r="BY70" s="31">
        <v>173</v>
      </c>
      <c r="BZ70" s="31">
        <v>191</v>
      </c>
      <c r="CA70" s="31">
        <v>164</v>
      </c>
      <c r="CB70" s="31">
        <v>165</v>
      </c>
      <c r="CC70" s="31">
        <v>152</v>
      </c>
      <c r="CD70" s="31">
        <v>137</v>
      </c>
      <c r="CE70" s="31">
        <v>138</v>
      </c>
      <c r="CF70" s="31">
        <v>154</v>
      </c>
      <c r="CG70" s="31">
        <v>163</v>
      </c>
      <c r="CH70" s="31">
        <v>132</v>
      </c>
      <c r="CI70" s="31">
        <v>133</v>
      </c>
      <c r="CJ70" s="31">
        <v>113</v>
      </c>
      <c r="CK70" s="31">
        <v>143</v>
      </c>
      <c r="CL70" s="31">
        <v>122</v>
      </c>
      <c r="CM70" s="31">
        <v>163</v>
      </c>
      <c r="CN70" s="31">
        <v>111</v>
      </c>
      <c r="CO70" s="31">
        <v>87</v>
      </c>
      <c r="CP70" s="31">
        <v>109</v>
      </c>
      <c r="CQ70" s="31">
        <v>92</v>
      </c>
      <c r="CR70" s="31">
        <v>67</v>
      </c>
      <c r="CS70" s="31">
        <v>68</v>
      </c>
      <c r="CT70" s="31">
        <v>70</v>
      </c>
      <c r="CU70" s="31">
        <v>71</v>
      </c>
      <c r="CV70" s="31">
        <v>51</v>
      </c>
      <c r="CW70" s="31">
        <v>36</v>
      </c>
      <c r="CX70" s="31">
        <v>31</v>
      </c>
      <c r="CY70" s="31">
        <v>36</v>
      </c>
      <c r="CZ70" s="31">
        <v>33</v>
      </c>
      <c r="DA70" s="32">
        <v>74</v>
      </c>
      <c r="DB70" s="55">
        <v>78</v>
      </c>
      <c r="DC70" s="31">
        <v>74</v>
      </c>
      <c r="DD70" s="31">
        <v>91</v>
      </c>
      <c r="DE70" s="31">
        <v>97</v>
      </c>
      <c r="DF70" s="31">
        <v>95</v>
      </c>
      <c r="DG70" s="31">
        <v>101</v>
      </c>
      <c r="DH70" s="31">
        <v>109</v>
      </c>
      <c r="DI70" s="31">
        <v>105</v>
      </c>
      <c r="DJ70" s="31">
        <v>107</v>
      </c>
      <c r="DK70" s="31">
        <v>104</v>
      </c>
      <c r="DL70" s="31">
        <v>113</v>
      </c>
      <c r="DM70" s="31">
        <v>102</v>
      </c>
      <c r="DN70" s="31">
        <v>115</v>
      </c>
      <c r="DO70" s="31">
        <v>125</v>
      </c>
      <c r="DP70" s="31">
        <v>116</v>
      </c>
      <c r="DQ70" s="31">
        <v>131</v>
      </c>
      <c r="DR70" s="31">
        <v>110</v>
      </c>
      <c r="DS70" s="31">
        <v>124</v>
      </c>
      <c r="DT70" s="31">
        <v>106</v>
      </c>
      <c r="DU70" s="31">
        <v>62</v>
      </c>
      <c r="DV70" s="31">
        <v>78</v>
      </c>
      <c r="DW70" s="31">
        <v>67</v>
      </c>
      <c r="DX70" s="31">
        <v>73</v>
      </c>
      <c r="DY70" s="31">
        <v>93</v>
      </c>
      <c r="DZ70" s="31">
        <v>87</v>
      </c>
      <c r="EA70" s="31">
        <v>83</v>
      </c>
      <c r="EB70" s="31">
        <v>77</v>
      </c>
      <c r="EC70" s="31">
        <v>99</v>
      </c>
      <c r="ED70" s="31">
        <v>119</v>
      </c>
      <c r="EE70" s="31">
        <v>111</v>
      </c>
      <c r="EF70" s="31">
        <v>133</v>
      </c>
      <c r="EG70" s="31">
        <v>134</v>
      </c>
      <c r="EH70" s="31">
        <v>142</v>
      </c>
      <c r="EI70" s="31">
        <v>128</v>
      </c>
      <c r="EJ70" s="31">
        <v>111</v>
      </c>
      <c r="EK70" s="31">
        <v>122</v>
      </c>
      <c r="EL70" s="31">
        <v>130</v>
      </c>
      <c r="EM70" s="31">
        <v>143</v>
      </c>
      <c r="EN70" s="31">
        <v>145</v>
      </c>
      <c r="EO70" s="31">
        <v>128</v>
      </c>
      <c r="EP70" s="31">
        <v>143</v>
      </c>
      <c r="EQ70" s="31">
        <v>116</v>
      </c>
      <c r="ER70" s="31">
        <v>135</v>
      </c>
      <c r="ES70" s="31">
        <v>109</v>
      </c>
      <c r="ET70" s="31">
        <v>163</v>
      </c>
      <c r="EU70" s="31">
        <v>113</v>
      </c>
      <c r="EV70" s="31">
        <v>115</v>
      </c>
      <c r="EW70" s="31">
        <v>119</v>
      </c>
      <c r="EX70" s="31">
        <v>150</v>
      </c>
      <c r="EY70" s="31">
        <v>143</v>
      </c>
      <c r="EZ70" s="31">
        <v>158</v>
      </c>
      <c r="FA70" s="31">
        <v>159</v>
      </c>
      <c r="FB70" s="31">
        <v>177</v>
      </c>
      <c r="FC70" s="31">
        <v>179</v>
      </c>
      <c r="FD70" s="31">
        <v>176</v>
      </c>
      <c r="FE70" s="31">
        <v>187</v>
      </c>
      <c r="FF70" s="31">
        <v>195</v>
      </c>
      <c r="FG70" s="31">
        <v>204</v>
      </c>
      <c r="FH70" s="31">
        <v>192</v>
      </c>
      <c r="FI70" s="31">
        <v>183</v>
      </c>
      <c r="FJ70" s="31">
        <v>184</v>
      </c>
      <c r="FK70" s="31">
        <v>179</v>
      </c>
      <c r="FL70" s="31">
        <v>173</v>
      </c>
      <c r="FM70" s="31">
        <v>172</v>
      </c>
      <c r="FN70" s="31">
        <v>169</v>
      </c>
      <c r="FO70" s="31">
        <v>159</v>
      </c>
      <c r="FP70" s="31">
        <v>166</v>
      </c>
      <c r="FQ70" s="31">
        <v>158</v>
      </c>
      <c r="FR70" s="31">
        <v>145</v>
      </c>
      <c r="FS70" s="31">
        <v>129</v>
      </c>
      <c r="FT70" s="31">
        <v>142</v>
      </c>
      <c r="FU70" s="31">
        <v>133</v>
      </c>
      <c r="FV70" s="31">
        <v>152</v>
      </c>
      <c r="FW70" s="31">
        <v>134</v>
      </c>
      <c r="FX70" s="31">
        <v>126</v>
      </c>
      <c r="FY70" s="31">
        <v>143</v>
      </c>
      <c r="FZ70" s="31">
        <v>160</v>
      </c>
      <c r="GA70" s="31">
        <v>116</v>
      </c>
      <c r="GB70" s="31">
        <v>98</v>
      </c>
      <c r="GC70" s="31">
        <v>103</v>
      </c>
      <c r="GD70" s="31">
        <v>106</v>
      </c>
      <c r="GE70" s="31">
        <v>109</v>
      </c>
      <c r="GF70" s="31">
        <v>72</v>
      </c>
      <c r="GG70" s="31">
        <v>94</v>
      </c>
      <c r="GH70" s="31">
        <v>58</v>
      </c>
      <c r="GI70" s="31">
        <v>63</v>
      </c>
      <c r="GJ70" s="31">
        <v>68</v>
      </c>
      <c r="GK70" s="31">
        <v>43</v>
      </c>
      <c r="GL70" s="31">
        <v>44</v>
      </c>
      <c r="GM70" s="31">
        <v>49</v>
      </c>
      <c r="GN70" s="32">
        <v>165</v>
      </c>
    </row>
    <row r="71" spans="1:196" s="1" customFormat="1" x14ac:dyDescent="0.2">
      <c r="A71" s="56" t="s">
        <v>1038</v>
      </c>
      <c r="B71" s="286" t="s">
        <v>1035</v>
      </c>
      <c r="C71" s="67" t="str">
        <f t="shared" si="24"/>
        <v>Health Board - Shetland</v>
      </c>
      <c r="D71" s="38">
        <f t="shared" si="35"/>
        <v>11006</v>
      </c>
      <c r="E71" s="38">
        <f t="shared" si="36"/>
        <v>10973</v>
      </c>
      <c r="F71" s="54">
        <f t="shared" si="37"/>
        <v>23000</v>
      </c>
      <c r="G71" s="33">
        <f t="shared" si="38"/>
        <v>11532</v>
      </c>
      <c r="H71" s="34">
        <f t="shared" si="39"/>
        <v>11468</v>
      </c>
      <c r="I71" s="390">
        <f t="shared" si="29"/>
        <v>11006</v>
      </c>
      <c r="J71" s="390">
        <f t="shared" si="30"/>
        <v>10973</v>
      </c>
      <c r="K71" s="38">
        <f t="shared" si="31"/>
        <v>1730</v>
      </c>
      <c r="L71" s="38">
        <f t="shared" si="32"/>
        <v>1611</v>
      </c>
      <c r="M71" s="38">
        <f t="shared" si="33"/>
        <v>10047</v>
      </c>
      <c r="N71" s="38">
        <f t="shared" si="34"/>
        <v>10069</v>
      </c>
      <c r="O71" s="31">
        <v>99</v>
      </c>
      <c r="P71" s="31">
        <v>115</v>
      </c>
      <c r="Q71" s="31">
        <v>89</v>
      </c>
      <c r="R71" s="31">
        <v>104</v>
      </c>
      <c r="S71" s="31">
        <v>119</v>
      </c>
      <c r="T71" s="31">
        <v>115</v>
      </c>
      <c r="U71" s="31">
        <v>140</v>
      </c>
      <c r="V71" s="31">
        <v>139</v>
      </c>
      <c r="W71" s="31">
        <v>118</v>
      </c>
      <c r="X71" s="31">
        <v>139</v>
      </c>
      <c r="Y71" s="31">
        <v>151</v>
      </c>
      <c r="Z71" s="31">
        <v>157</v>
      </c>
      <c r="AA71" s="31">
        <v>155</v>
      </c>
      <c r="AB71" s="31">
        <v>162</v>
      </c>
      <c r="AC71" s="31">
        <v>143</v>
      </c>
      <c r="AD71" s="31">
        <v>152</v>
      </c>
      <c r="AE71" s="31">
        <v>159</v>
      </c>
      <c r="AF71" s="31">
        <v>143</v>
      </c>
      <c r="AG71" s="31">
        <v>133</v>
      </c>
      <c r="AH71" s="31">
        <v>124</v>
      </c>
      <c r="AI71" s="31">
        <v>116</v>
      </c>
      <c r="AJ71" s="31">
        <v>103</v>
      </c>
      <c r="AK71" s="31">
        <v>89</v>
      </c>
      <c r="AL71" s="31">
        <v>118</v>
      </c>
      <c r="AM71" s="31">
        <v>94</v>
      </c>
      <c r="AN71" s="31">
        <v>122</v>
      </c>
      <c r="AO71" s="31">
        <v>131</v>
      </c>
      <c r="AP71" s="31">
        <v>122</v>
      </c>
      <c r="AQ71" s="31">
        <v>111</v>
      </c>
      <c r="AR71" s="31">
        <v>153</v>
      </c>
      <c r="AS71" s="31">
        <v>140</v>
      </c>
      <c r="AT71" s="31">
        <v>138</v>
      </c>
      <c r="AU71" s="31">
        <v>135</v>
      </c>
      <c r="AV71" s="31">
        <v>150</v>
      </c>
      <c r="AW71" s="31">
        <v>156</v>
      </c>
      <c r="AX71" s="31">
        <v>146</v>
      </c>
      <c r="AY71" s="31">
        <v>167</v>
      </c>
      <c r="AZ71" s="31">
        <v>143</v>
      </c>
      <c r="BA71" s="31">
        <v>125</v>
      </c>
      <c r="BB71" s="31">
        <v>120</v>
      </c>
      <c r="BC71" s="31">
        <v>117</v>
      </c>
      <c r="BD71" s="31">
        <v>138</v>
      </c>
      <c r="BE71" s="31">
        <v>152</v>
      </c>
      <c r="BF71" s="31">
        <v>132</v>
      </c>
      <c r="BG71" s="31">
        <v>148</v>
      </c>
      <c r="BH71" s="31">
        <v>119</v>
      </c>
      <c r="BI71" s="31">
        <v>147</v>
      </c>
      <c r="BJ71" s="31">
        <v>130</v>
      </c>
      <c r="BK71" s="31">
        <v>151</v>
      </c>
      <c r="BL71" s="31">
        <v>119</v>
      </c>
      <c r="BM71" s="31">
        <v>183</v>
      </c>
      <c r="BN71" s="31">
        <v>166</v>
      </c>
      <c r="BO71" s="31">
        <v>154</v>
      </c>
      <c r="BP71" s="31">
        <v>158</v>
      </c>
      <c r="BQ71" s="31">
        <v>172</v>
      </c>
      <c r="BR71" s="31">
        <v>152</v>
      </c>
      <c r="BS71" s="31">
        <v>184</v>
      </c>
      <c r="BT71" s="31">
        <v>195</v>
      </c>
      <c r="BU71" s="31">
        <v>166</v>
      </c>
      <c r="BV71" s="31">
        <v>171</v>
      </c>
      <c r="BW71" s="31">
        <v>178</v>
      </c>
      <c r="BX71" s="31">
        <v>166</v>
      </c>
      <c r="BY71" s="31">
        <v>159</v>
      </c>
      <c r="BZ71" s="31">
        <v>158</v>
      </c>
      <c r="CA71" s="31">
        <v>151</v>
      </c>
      <c r="CB71" s="31">
        <v>154</v>
      </c>
      <c r="CC71" s="31">
        <v>126</v>
      </c>
      <c r="CD71" s="31">
        <v>153</v>
      </c>
      <c r="CE71" s="31">
        <v>137</v>
      </c>
      <c r="CF71" s="31">
        <v>133</v>
      </c>
      <c r="CG71" s="31">
        <v>117</v>
      </c>
      <c r="CH71" s="31">
        <v>128</v>
      </c>
      <c r="CI71" s="31">
        <v>121</v>
      </c>
      <c r="CJ71" s="31">
        <v>118</v>
      </c>
      <c r="CK71" s="31">
        <v>129</v>
      </c>
      <c r="CL71" s="31">
        <v>139</v>
      </c>
      <c r="CM71" s="31">
        <v>138</v>
      </c>
      <c r="CN71" s="31">
        <v>101</v>
      </c>
      <c r="CO71" s="31">
        <v>77</v>
      </c>
      <c r="CP71" s="31">
        <v>91</v>
      </c>
      <c r="CQ71" s="31">
        <v>91</v>
      </c>
      <c r="CR71" s="31">
        <v>91</v>
      </c>
      <c r="CS71" s="31">
        <v>50</v>
      </c>
      <c r="CT71" s="31">
        <v>62</v>
      </c>
      <c r="CU71" s="31">
        <v>53</v>
      </c>
      <c r="CV71" s="31">
        <v>40</v>
      </c>
      <c r="CW71" s="31">
        <v>39</v>
      </c>
      <c r="CX71" s="31">
        <v>39</v>
      </c>
      <c r="CY71" s="31">
        <v>29</v>
      </c>
      <c r="CZ71" s="31">
        <v>15</v>
      </c>
      <c r="DA71" s="32">
        <v>60</v>
      </c>
      <c r="DB71" s="55">
        <v>78</v>
      </c>
      <c r="DC71" s="31">
        <v>98</v>
      </c>
      <c r="DD71" s="31">
        <v>92</v>
      </c>
      <c r="DE71" s="31">
        <v>103</v>
      </c>
      <c r="DF71" s="31">
        <v>124</v>
      </c>
      <c r="DG71" s="31">
        <v>112</v>
      </c>
      <c r="DH71" s="31">
        <v>119</v>
      </c>
      <c r="DI71" s="31">
        <v>125</v>
      </c>
      <c r="DJ71" s="31">
        <v>135</v>
      </c>
      <c r="DK71" s="31">
        <v>133</v>
      </c>
      <c r="DL71" s="31">
        <v>146</v>
      </c>
      <c r="DM71" s="31">
        <v>134</v>
      </c>
      <c r="DN71" s="31">
        <v>146</v>
      </c>
      <c r="DO71" s="31">
        <v>139</v>
      </c>
      <c r="DP71" s="31">
        <v>158</v>
      </c>
      <c r="DQ71" s="31">
        <v>125</v>
      </c>
      <c r="DR71" s="31">
        <v>139</v>
      </c>
      <c r="DS71" s="31">
        <v>165</v>
      </c>
      <c r="DT71" s="31">
        <v>103</v>
      </c>
      <c r="DU71" s="31">
        <v>95</v>
      </c>
      <c r="DV71" s="31">
        <v>61</v>
      </c>
      <c r="DW71" s="31">
        <v>63</v>
      </c>
      <c r="DX71" s="31">
        <v>90</v>
      </c>
      <c r="DY71" s="31">
        <v>112</v>
      </c>
      <c r="DZ71" s="31">
        <v>91</v>
      </c>
      <c r="EA71" s="31">
        <v>124</v>
      </c>
      <c r="EB71" s="31">
        <v>113</v>
      </c>
      <c r="EC71" s="31">
        <v>121</v>
      </c>
      <c r="ED71" s="31">
        <v>107</v>
      </c>
      <c r="EE71" s="31">
        <v>121</v>
      </c>
      <c r="EF71" s="31">
        <v>138</v>
      </c>
      <c r="EG71" s="31">
        <v>132</v>
      </c>
      <c r="EH71" s="31">
        <v>151</v>
      </c>
      <c r="EI71" s="31">
        <v>140</v>
      </c>
      <c r="EJ71" s="31">
        <v>139</v>
      </c>
      <c r="EK71" s="31">
        <v>130</v>
      </c>
      <c r="EL71" s="31">
        <v>159</v>
      </c>
      <c r="EM71" s="31">
        <v>125</v>
      </c>
      <c r="EN71" s="31">
        <v>140</v>
      </c>
      <c r="EO71" s="31">
        <v>143</v>
      </c>
      <c r="EP71" s="31">
        <v>150</v>
      </c>
      <c r="EQ71" s="31">
        <v>124</v>
      </c>
      <c r="ER71" s="31">
        <v>147</v>
      </c>
      <c r="ES71" s="31">
        <v>153</v>
      </c>
      <c r="ET71" s="31">
        <v>139</v>
      </c>
      <c r="EU71" s="31">
        <v>129</v>
      </c>
      <c r="EV71" s="31">
        <v>177</v>
      </c>
      <c r="EW71" s="31">
        <v>134</v>
      </c>
      <c r="EX71" s="31">
        <v>138</v>
      </c>
      <c r="EY71" s="31">
        <v>167</v>
      </c>
      <c r="EZ71" s="31">
        <v>157</v>
      </c>
      <c r="FA71" s="31">
        <v>170</v>
      </c>
      <c r="FB71" s="31">
        <v>165</v>
      </c>
      <c r="FC71" s="31">
        <v>170</v>
      </c>
      <c r="FD71" s="31">
        <v>163</v>
      </c>
      <c r="FE71" s="31">
        <v>189</v>
      </c>
      <c r="FF71" s="31">
        <v>168</v>
      </c>
      <c r="FG71" s="31">
        <v>156</v>
      </c>
      <c r="FH71" s="31">
        <v>167</v>
      </c>
      <c r="FI71" s="31">
        <v>196</v>
      </c>
      <c r="FJ71" s="31">
        <v>164</v>
      </c>
      <c r="FK71" s="31">
        <v>171</v>
      </c>
      <c r="FL71" s="31">
        <v>164</v>
      </c>
      <c r="FM71" s="31">
        <v>147</v>
      </c>
      <c r="FN71" s="31">
        <v>139</v>
      </c>
      <c r="FO71" s="31">
        <v>155</v>
      </c>
      <c r="FP71" s="31">
        <v>140</v>
      </c>
      <c r="FQ71" s="31">
        <v>147</v>
      </c>
      <c r="FR71" s="31">
        <v>150</v>
      </c>
      <c r="FS71" s="31">
        <v>124</v>
      </c>
      <c r="FT71" s="31">
        <v>135</v>
      </c>
      <c r="FU71" s="31">
        <v>122</v>
      </c>
      <c r="FV71" s="31">
        <v>128</v>
      </c>
      <c r="FW71" s="31">
        <v>125</v>
      </c>
      <c r="FX71" s="31">
        <v>129</v>
      </c>
      <c r="FY71" s="31">
        <v>116</v>
      </c>
      <c r="FZ71" s="31">
        <v>120</v>
      </c>
      <c r="GA71" s="31">
        <v>85</v>
      </c>
      <c r="GB71" s="31">
        <v>122</v>
      </c>
      <c r="GC71" s="31">
        <v>85</v>
      </c>
      <c r="GD71" s="31">
        <v>111</v>
      </c>
      <c r="GE71" s="31">
        <v>95</v>
      </c>
      <c r="GF71" s="31">
        <v>71</v>
      </c>
      <c r="GG71" s="31">
        <v>63</v>
      </c>
      <c r="GH71" s="31">
        <v>77</v>
      </c>
      <c r="GI71" s="31">
        <v>63</v>
      </c>
      <c r="GJ71" s="31">
        <v>58</v>
      </c>
      <c r="GK71" s="31">
        <v>37</v>
      </c>
      <c r="GL71" s="31">
        <v>42</v>
      </c>
      <c r="GM71" s="31">
        <v>36</v>
      </c>
      <c r="GN71" s="32">
        <v>119</v>
      </c>
    </row>
    <row r="72" spans="1:196" s="1" customFormat="1" x14ac:dyDescent="0.2">
      <c r="A72" s="56" t="s">
        <v>1038</v>
      </c>
      <c r="B72" s="286" t="s">
        <v>1036</v>
      </c>
      <c r="C72" s="67" t="str">
        <f t="shared" si="24"/>
        <v>Health Board - Tayside</v>
      </c>
      <c r="D72" s="38">
        <f t="shared" si="35"/>
        <v>194015</v>
      </c>
      <c r="E72" s="38">
        <f t="shared" si="36"/>
        <v>205854</v>
      </c>
      <c r="F72" s="54">
        <f t="shared" si="37"/>
        <v>417770</v>
      </c>
      <c r="G72" s="33">
        <f t="shared" si="38"/>
        <v>203218</v>
      </c>
      <c r="H72" s="34">
        <f t="shared" si="39"/>
        <v>214552</v>
      </c>
      <c r="I72" s="390">
        <f t="shared" si="29"/>
        <v>194015</v>
      </c>
      <c r="J72" s="390">
        <f t="shared" si="30"/>
        <v>205854</v>
      </c>
      <c r="K72" s="38">
        <f t="shared" si="31"/>
        <v>27181</v>
      </c>
      <c r="L72" s="38">
        <f t="shared" si="32"/>
        <v>25692</v>
      </c>
      <c r="M72" s="38">
        <f t="shared" si="33"/>
        <v>178764</v>
      </c>
      <c r="N72" s="38">
        <f t="shared" si="34"/>
        <v>191540</v>
      </c>
      <c r="O72" s="31">
        <v>1695</v>
      </c>
      <c r="P72" s="31">
        <v>1792</v>
      </c>
      <c r="Q72" s="31">
        <v>1793</v>
      </c>
      <c r="R72" s="31">
        <v>1990</v>
      </c>
      <c r="S72" s="31">
        <v>1933</v>
      </c>
      <c r="T72" s="31">
        <v>1969</v>
      </c>
      <c r="U72" s="31">
        <v>2091</v>
      </c>
      <c r="V72" s="31">
        <v>2096</v>
      </c>
      <c r="W72" s="31">
        <v>2192</v>
      </c>
      <c r="X72" s="31">
        <v>2329</v>
      </c>
      <c r="Y72" s="31">
        <v>2262</v>
      </c>
      <c r="Z72" s="31">
        <v>2312</v>
      </c>
      <c r="AA72" s="31">
        <v>2363</v>
      </c>
      <c r="AB72" s="31">
        <v>2324</v>
      </c>
      <c r="AC72" s="31">
        <v>2453</v>
      </c>
      <c r="AD72" s="31">
        <v>2396</v>
      </c>
      <c r="AE72" s="31">
        <v>2394</v>
      </c>
      <c r="AF72" s="31">
        <v>2244</v>
      </c>
      <c r="AG72" s="31">
        <v>2283</v>
      </c>
      <c r="AH72" s="31">
        <v>2511</v>
      </c>
      <c r="AI72" s="31">
        <v>2783</v>
      </c>
      <c r="AJ72" s="31">
        <v>2682</v>
      </c>
      <c r="AK72" s="31">
        <v>2725</v>
      </c>
      <c r="AL72" s="31">
        <v>2774</v>
      </c>
      <c r="AM72" s="31">
        <v>2449</v>
      </c>
      <c r="AN72" s="31">
        <v>2498</v>
      </c>
      <c r="AO72" s="31">
        <v>2414</v>
      </c>
      <c r="AP72" s="31">
        <v>2434</v>
      </c>
      <c r="AQ72" s="31">
        <v>2320</v>
      </c>
      <c r="AR72" s="31">
        <v>2458</v>
      </c>
      <c r="AS72" s="31">
        <v>2486</v>
      </c>
      <c r="AT72" s="31">
        <v>2475</v>
      </c>
      <c r="AU72" s="31">
        <v>2694</v>
      </c>
      <c r="AV72" s="31">
        <v>2411</v>
      </c>
      <c r="AW72" s="31">
        <v>2449</v>
      </c>
      <c r="AX72" s="31">
        <v>2423</v>
      </c>
      <c r="AY72" s="31">
        <v>2500</v>
      </c>
      <c r="AZ72" s="31">
        <v>2558</v>
      </c>
      <c r="BA72" s="31">
        <v>2457</v>
      </c>
      <c r="BB72" s="31">
        <v>2572</v>
      </c>
      <c r="BC72" s="31">
        <v>2432</v>
      </c>
      <c r="BD72" s="31">
        <v>2504</v>
      </c>
      <c r="BE72" s="31">
        <v>2502</v>
      </c>
      <c r="BF72" s="31">
        <v>2328</v>
      </c>
      <c r="BG72" s="31">
        <v>2398</v>
      </c>
      <c r="BH72" s="31">
        <v>2099</v>
      </c>
      <c r="BI72" s="31">
        <v>2121</v>
      </c>
      <c r="BJ72" s="31">
        <v>2224</v>
      </c>
      <c r="BK72" s="31">
        <v>2200</v>
      </c>
      <c r="BL72" s="31">
        <v>2272</v>
      </c>
      <c r="BM72" s="31">
        <v>2457</v>
      </c>
      <c r="BN72" s="31">
        <v>2593</v>
      </c>
      <c r="BO72" s="31">
        <v>2725</v>
      </c>
      <c r="BP72" s="31">
        <v>2703</v>
      </c>
      <c r="BQ72" s="31">
        <v>2847</v>
      </c>
      <c r="BR72" s="31">
        <v>2810</v>
      </c>
      <c r="BS72" s="31">
        <v>2928</v>
      </c>
      <c r="BT72" s="31">
        <v>3023</v>
      </c>
      <c r="BU72" s="31">
        <v>3063</v>
      </c>
      <c r="BV72" s="31">
        <v>3086</v>
      </c>
      <c r="BW72" s="31">
        <v>3090</v>
      </c>
      <c r="BX72" s="31">
        <v>2946</v>
      </c>
      <c r="BY72" s="31">
        <v>2847</v>
      </c>
      <c r="BZ72" s="31">
        <v>2806</v>
      </c>
      <c r="CA72" s="31">
        <v>2795</v>
      </c>
      <c r="CB72" s="31">
        <v>2729</v>
      </c>
      <c r="CC72" s="31">
        <v>2601</v>
      </c>
      <c r="CD72" s="31">
        <v>2472</v>
      </c>
      <c r="CE72" s="31">
        <v>2388</v>
      </c>
      <c r="CF72" s="31">
        <v>2376</v>
      </c>
      <c r="CG72" s="31">
        <v>2427</v>
      </c>
      <c r="CH72" s="31">
        <v>2165</v>
      </c>
      <c r="CI72" s="31">
        <v>2186</v>
      </c>
      <c r="CJ72" s="31">
        <v>2217</v>
      </c>
      <c r="CK72" s="31">
        <v>2172</v>
      </c>
      <c r="CL72" s="31">
        <v>2244</v>
      </c>
      <c r="CM72" s="31">
        <v>2360</v>
      </c>
      <c r="CN72" s="31">
        <v>1757</v>
      </c>
      <c r="CO72" s="31">
        <v>1493</v>
      </c>
      <c r="CP72" s="31">
        <v>1556</v>
      </c>
      <c r="CQ72" s="31">
        <v>1365</v>
      </c>
      <c r="CR72" s="31">
        <v>1151</v>
      </c>
      <c r="CS72" s="31">
        <v>1030</v>
      </c>
      <c r="CT72" s="31">
        <v>1103</v>
      </c>
      <c r="CU72" s="31">
        <v>908</v>
      </c>
      <c r="CV72" s="31">
        <v>807</v>
      </c>
      <c r="CW72" s="31">
        <v>710</v>
      </c>
      <c r="CX72" s="31">
        <v>665</v>
      </c>
      <c r="CY72" s="31">
        <v>565</v>
      </c>
      <c r="CZ72" s="31">
        <v>428</v>
      </c>
      <c r="DA72" s="32">
        <v>1560</v>
      </c>
      <c r="DB72" s="55">
        <v>1639</v>
      </c>
      <c r="DC72" s="31">
        <v>1744</v>
      </c>
      <c r="DD72" s="31">
        <v>1757</v>
      </c>
      <c r="DE72" s="31">
        <v>1832</v>
      </c>
      <c r="DF72" s="31">
        <v>1726</v>
      </c>
      <c r="DG72" s="31">
        <v>1810</v>
      </c>
      <c r="DH72" s="31">
        <v>2032</v>
      </c>
      <c r="DI72" s="31">
        <v>1951</v>
      </c>
      <c r="DJ72" s="31">
        <v>1985</v>
      </c>
      <c r="DK72" s="31">
        <v>2060</v>
      </c>
      <c r="DL72" s="31">
        <v>2233</v>
      </c>
      <c r="DM72" s="31">
        <v>2243</v>
      </c>
      <c r="DN72" s="31">
        <v>2217</v>
      </c>
      <c r="DO72" s="31">
        <v>2243</v>
      </c>
      <c r="DP72" s="31">
        <v>2269</v>
      </c>
      <c r="DQ72" s="31">
        <v>2383</v>
      </c>
      <c r="DR72" s="31">
        <v>2266</v>
      </c>
      <c r="DS72" s="31">
        <v>2149</v>
      </c>
      <c r="DT72" s="31">
        <v>2246</v>
      </c>
      <c r="DU72" s="31">
        <v>2417</v>
      </c>
      <c r="DV72" s="31">
        <v>2598</v>
      </c>
      <c r="DW72" s="31">
        <v>2726</v>
      </c>
      <c r="DX72" s="31">
        <v>2763</v>
      </c>
      <c r="DY72" s="31">
        <v>2691</v>
      </c>
      <c r="DZ72" s="31">
        <v>2503</v>
      </c>
      <c r="EA72" s="31">
        <v>2438</v>
      </c>
      <c r="EB72" s="31">
        <v>2522</v>
      </c>
      <c r="EC72" s="31">
        <v>2519</v>
      </c>
      <c r="ED72" s="31">
        <v>2311</v>
      </c>
      <c r="EE72" s="31">
        <v>2440</v>
      </c>
      <c r="EF72" s="31">
        <v>2669</v>
      </c>
      <c r="EG72" s="31">
        <v>2498</v>
      </c>
      <c r="EH72" s="31">
        <v>2671</v>
      </c>
      <c r="EI72" s="31">
        <v>2559</v>
      </c>
      <c r="EJ72" s="31">
        <v>2630</v>
      </c>
      <c r="EK72" s="31">
        <v>2682</v>
      </c>
      <c r="EL72" s="31">
        <v>2663</v>
      </c>
      <c r="EM72" s="31">
        <v>2692</v>
      </c>
      <c r="EN72" s="31">
        <v>2755</v>
      </c>
      <c r="EO72" s="31">
        <v>2668</v>
      </c>
      <c r="EP72" s="31">
        <v>2513</v>
      </c>
      <c r="EQ72" s="31">
        <v>2592</v>
      </c>
      <c r="ER72" s="31">
        <v>2604</v>
      </c>
      <c r="ES72" s="31">
        <v>2451</v>
      </c>
      <c r="ET72" s="31">
        <v>2378</v>
      </c>
      <c r="EU72" s="31">
        <v>2246</v>
      </c>
      <c r="EV72" s="31">
        <v>2219</v>
      </c>
      <c r="EW72" s="31">
        <v>2391</v>
      </c>
      <c r="EX72" s="31">
        <v>2360</v>
      </c>
      <c r="EY72" s="31">
        <v>2618</v>
      </c>
      <c r="EZ72" s="31">
        <v>2663</v>
      </c>
      <c r="FA72" s="31">
        <v>2856</v>
      </c>
      <c r="FB72" s="31">
        <v>2981</v>
      </c>
      <c r="FC72" s="31">
        <v>2878</v>
      </c>
      <c r="FD72" s="31">
        <v>3092</v>
      </c>
      <c r="FE72" s="31">
        <v>3147</v>
      </c>
      <c r="FF72" s="31">
        <v>3158</v>
      </c>
      <c r="FG72" s="31">
        <v>3136</v>
      </c>
      <c r="FH72" s="31">
        <v>3336</v>
      </c>
      <c r="FI72" s="31">
        <v>3114</v>
      </c>
      <c r="FJ72" s="31">
        <v>3280</v>
      </c>
      <c r="FK72" s="31">
        <v>3177</v>
      </c>
      <c r="FL72" s="31">
        <v>3189</v>
      </c>
      <c r="FM72" s="31">
        <v>2975</v>
      </c>
      <c r="FN72" s="31">
        <v>2955</v>
      </c>
      <c r="FO72" s="31">
        <v>2894</v>
      </c>
      <c r="FP72" s="31">
        <v>2754</v>
      </c>
      <c r="FQ72" s="31">
        <v>2584</v>
      </c>
      <c r="FR72" s="31">
        <v>2533</v>
      </c>
      <c r="FS72" s="31">
        <v>2444</v>
      </c>
      <c r="FT72" s="31">
        <v>2590</v>
      </c>
      <c r="FU72" s="31">
        <v>2341</v>
      </c>
      <c r="FV72" s="31">
        <v>2370</v>
      </c>
      <c r="FW72" s="31">
        <v>2386</v>
      </c>
      <c r="FX72" s="31">
        <v>2485</v>
      </c>
      <c r="FY72" s="31">
        <v>2480</v>
      </c>
      <c r="FZ72" s="31">
        <v>2793</v>
      </c>
      <c r="GA72" s="31">
        <v>1921</v>
      </c>
      <c r="GB72" s="31">
        <v>1868</v>
      </c>
      <c r="GC72" s="31">
        <v>1740</v>
      </c>
      <c r="GD72" s="31">
        <v>1763</v>
      </c>
      <c r="GE72" s="31">
        <v>1530</v>
      </c>
      <c r="GF72" s="31">
        <v>1297</v>
      </c>
      <c r="GG72" s="31">
        <v>1333</v>
      </c>
      <c r="GH72" s="31">
        <v>1301</v>
      </c>
      <c r="GI72" s="31">
        <v>1185</v>
      </c>
      <c r="GJ72" s="31">
        <v>1004</v>
      </c>
      <c r="GK72" s="31">
        <v>923</v>
      </c>
      <c r="GL72" s="31">
        <v>876</v>
      </c>
      <c r="GM72" s="31">
        <v>755</v>
      </c>
      <c r="GN72" s="32">
        <v>2893</v>
      </c>
    </row>
    <row r="73" spans="1:196" s="1" customFormat="1" x14ac:dyDescent="0.2">
      <c r="A73" s="56" t="s">
        <v>1038</v>
      </c>
      <c r="B73" s="286" t="s">
        <v>1037</v>
      </c>
      <c r="C73" s="67" t="str">
        <f t="shared" si="24"/>
        <v>Health Board - Western Isles</v>
      </c>
      <c r="D73" s="38">
        <f t="shared" si="35"/>
        <v>12396</v>
      </c>
      <c r="E73" s="38">
        <f t="shared" si="36"/>
        <v>12666</v>
      </c>
      <c r="F73" s="54">
        <f t="shared" si="37"/>
        <v>26030</v>
      </c>
      <c r="G73" s="33">
        <f t="shared" si="38"/>
        <v>12877</v>
      </c>
      <c r="H73" s="34">
        <f t="shared" si="39"/>
        <v>13153</v>
      </c>
      <c r="I73" s="390">
        <f t="shared" si="29"/>
        <v>12396</v>
      </c>
      <c r="J73" s="390">
        <f t="shared" si="30"/>
        <v>12666</v>
      </c>
      <c r="K73" s="38">
        <f t="shared" si="31"/>
        <v>1683</v>
      </c>
      <c r="L73" s="38">
        <f t="shared" si="32"/>
        <v>1514</v>
      </c>
      <c r="M73" s="38">
        <f t="shared" si="33"/>
        <v>11437</v>
      </c>
      <c r="N73" s="38">
        <f t="shared" si="34"/>
        <v>11813</v>
      </c>
      <c r="O73" s="31">
        <v>87</v>
      </c>
      <c r="P73" s="31">
        <v>107</v>
      </c>
      <c r="Q73" s="31">
        <v>93</v>
      </c>
      <c r="R73" s="31">
        <v>84</v>
      </c>
      <c r="S73" s="31">
        <v>110</v>
      </c>
      <c r="T73" s="31">
        <v>128</v>
      </c>
      <c r="U73" s="31">
        <v>143</v>
      </c>
      <c r="V73" s="31">
        <v>135</v>
      </c>
      <c r="W73" s="31">
        <v>112</v>
      </c>
      <c r="X73" s="31">
        <v>155</v>
      </c>
      <c r="Y73" s="31">
        <v>125</v>
      </c>
      <c r="Z73" s="31">
        <v>161</v>
      </c>
      <c r="AA73" s="31">
        <v>139</v>
      </c>
      <c r="AB73" s="31">
        <v>126</v>
      </c>
      <c r="AC73" s="31">
        <v>141</v>
      </c>
      <c r="AD73" s="31">
        <v>159</v>
      </c>
      <c r="AE73" s="31">
        <v>159</v>
      </c>
      <c r="AF73" s="31">
        <v>134</v>
      </c>
      <c r="AG73" s="31">
        <v>130</v>
      </c>
      <c r="AH73" s="31">
        <v>128</v>
      </c>
      <c r="AI73" s="31">
        <v>109</v>
      </c>
      <c r="AJ73" s="31">
        <v>70</v>
      </c>
      <c r="AK73" s="31">
        <v>87</v>
      </c>
      <c r="AL73" s="31">
        <v>100</v>
      </c>
      <c r="AM73" s="31">
        <v>112</v>
      </c>
      <c r="AN73" s="31">
        <v>88</v>
      </c>
      <c r="AO73" s="31">
        <v>110</v>
      </c>
      <c r="AP73" s="31">
        <v>119</v>
      </c>
      <c r="AQ73" s="31">
        <v>103</v>
      </c>
      <c r="AR73" s="31">
        <v>113</v>
      </c>
      <c r="AS73" s="31">
        <v>103</v>
      </c>
      <c r="AT73" s="31">
        <v>150</v>
      </c>
      <c r="AU73" s="31">
        <v>100</v>
      </c>
      <c r="AV73" s="31">
        <v>114</v>
      </c>
      <c r="AW73" s="31">
        <v>146</v>
      </c>
      <c r="AX73" s="31">
        <v>144</v>
      </c>
      <c r="AY73" s="31">
        <v>146</v>
      </c>
      <c r="AZ73" s="31">
        <v>125</v>
      </c>
      <c r="BA73" s="31">
        <v>125</v>
      </c>
      <c r="BB73" s="31">
        <v>122</v>
      </c>
      <c r="BC73" s="31">
        <v>133</v>
      </c>
      <c r="BD73" s="31">
        <v>135</v>
      </c>
      <c r="BE73" s="31">
        <v>127</v>
      </c>
      <c r="BF73" s="31">
        <v>134</v>
      </c>
      <c r="BG73" s="31">
        <v>185</v>
      </c>
      <c r="BH73" s="31">
        <v>145</v>
      </c>
      <c r="BI73" s="31">
        <v>146</v>
      </c>
      <c r="BJ73" s="31">
        <v>162</v>
      </c>
      <c r="BK73" s="31">
        <v>150</v>
      </c>
      <c r="BL73" s="31">
        <v>167</v>
      </c>
      <c r="BM73" s="31">
        <v>195</v>
      </c>
      <c r="BN73" s="31">
        <v>211</v>
      </c>
      <c r="BO73" s="31">
        <v>202</v>
      </c>
      <c r="BP73" s="31">
        <v>190</v>
      </c>
      <c r="BQ73" s="31">
        <v>212</v>
      </c>
      <c r="BR73" s="31">
        <v>237</v>
      </c>
      <c r="BS73" s="31">
        <v>228</v>
      </c>
      <c r="BT73" s="31">
        <v>210</v>
      </c>
      <c r="BU73" s="31">
        <v>239</v>
      </c>
      <c r="BV73" s="31">
        <v>233</v>
      </c>
      <c r="BW73" s="31">
        <v>208</v>
      </c>
      <c r="BX73" s="31">
        <v>229</v>
      </c>
      <c r="BY73" s="31">
        <v>203</v>
      </c>
      <c r="BZ73" s="31">
        <v>235</v>
      </c>
      <c r="CA73" s="31">
        <v>245</v>
      </c>
      <c r="CB73" s="31">
        <v>189</v>
      </c>
      <c r="CC73" s="31">
        <v>206</v>
      </c>
      <c r="CD73" s="31">
        <v>183</v>
      </c>
      <c r="CE73" s="31">
        <v>209</v>
      </c>
      <c r="CF73" s="31">
        <v>179</v>
      </c>
      <c r="CG73" s="31">
        <v>198</v>
      </c>
      <c r="CH73" s="31">
        <v>163</v>
      </c>
      <c r="CI73" s="31">
        <v>148</v>
      </c>
      <c r="CJ73" s="31">
        <v>186</v>
      </c>
      <c r="CK73" s="31">
        <v>156</v>
      </c>
      <c r="CL73" s="31">
        <v>180</v>
      </c>
      <c r="CM73" s="31">
        <v>180</v>
      </c>
      <c r="CN73" s="31">
        <v>106</v>
      </c>
      <c r="CO73" s="31">
        <v>118</v>
      </c>
      <c r="CP73" s="31">
        <v>119</v>
      </c>
      <c r="CQ73" s="31">
        <v>101</v>
      </c>
      <c r="CR73" s="31">
        <v>99</v>
      </c>
      <c r="CS73" s="31">
        <v>74</v>
      </c>
      <c r="CT73" s="31">
        <v>76</v>
      </c>
      <c r="CU73" s="31">
        <v>79</v>
      </c>
      <c r="CV73" s="31">
        <v>63</v>
      </c>
      <c r="CW73" s="31">
        <v>49</v>
      </c>
      <c r="CX73" s="31">
        <v>38</v>
      </c>
      <c r="CY73" s="31">
        <v>35</v>
      </c>
      <c r="CZ73" s="31">
        <v>35</v>
      </c>
      <c r="DA73" s="32">
        <v>105</v>
      </c>
      <c r="DB73" s="55">
        <v>77</v>
      </c>
      <c r="DC73" s="31">
        <v>94</v>
      </c>
      <c r="DD73" s="31">
        <v>85</v>
      </c>
      <c r="DE73" s="31">
        <v>114</v>
      </c>
      <c r="DF73" s="31">
        <v>117</v>
      </c>
      <c r="DG73" s="31">
        <v>99</v>
      </c>
      <c r="DH73" s="31">
        <v>107</v>
      </c>
      <c r="DI73" s="31">
        <v>123</v>
      </c>
      <c r="DJ73" s="31">
        <v>119</v>
      </c>
      <c r="DK73" s="31">
        <v>137</v>
      </c>
      <c r="DL73" s="31">
        <v>148</v>
      </c>
      <c r="DM73" s="31">
        <v>120</v>
      </c>
      <c r="DN73" s="31">
        <v>135</v>
      </c>
      <c r="DO73" s="31">
        <v>128</v>
      </c>
      <c r="DP73" s="31">
        <v>135</v>
      </c>
      <c r="DQ73" s="31">
        <v>115</v>
      </c>
      <c r="DR73" s="31">
        <v>148</v>
      </c>
      <c r="DS73" s="31">
        <v>137</v>
      </c>
      <c r="DT73" s="31">
        <v>104</v>
      </c>
      <c r="DU73" s="31">
        <v>108</v>
      </c>
      <c r="DV73" s="31">
        <v>77</v>
      </c>
      <c r="DW73" s="31">
        <v>75</v>
      </c>
      <c r="DX73" s="31">
        <v>94</v>
      </c>
      <c r="DY73" s="31">
        <v>85</v>
      </c>
      <c r="DZ73" s="31">
        <v>80</v>
      </c>
      <c r="EA73" s="31">
        <v>83</v>
      </c>
      <c r="EB73" s="31">
        <v>102</v>
      </c>
      <c r="EC73" s="31">
        <v>128</v>
      </c>
      <c r="ED73" s="31">
        <v>127</v>
      </c>
      <c r="EE73" s="31">
        <v>131</v>
      </c>
      <c r="EF73" s="31">
        <v>100</v>
      </c>
      <c r="EG73" s="31">
        <v>122</v>
      </c>
      <c r="EH73" s="31">
        <v>129</v>
      </c>
      <c r="EI73" s="31">
        <v>134</v>
      </c>
      <c r="EJ73" s="31">
        <v>135</v>
      </c>
      <c r="EK73" s="31">
        <v>154</v>
      </c>
      <c r="EL73" s="31">
        <v>129</v>
      </c>
      <c r="EM73" s="31">
        <v>116</v>
      </c>
      <c r="EN73" s="31">
        <v>120</v>
      </c>
      <c r="EO73" s="31">
        <v>130</v>
      </c>
      <c r="EP73" s="31">
        <v>140</v>
      </c>
      <c r="EQ73" s="31">
        <v>154</v>
      </c>
      <c r="ER73" s="31">
        <v>158</v>
      </c>
      <c r="ES73" s="31">
        <v>171</v>
      </c>
      <c r="ET73" s="31">
        <v>187</v>
      </c>
      <c r="EU73" s="31">
        <v>152</v>
      </c>
      <c r="EV73" s="31">
        <v>153</v>
      </c>
      <c r="EW73" s="31">
        <v>182</v>
      </c>
      <c r="EX73" s="31">
        <v>152</v>
      </c>
      <c r="EY73" s="31">
        <v>155</v>
      </c>
      <c r="EZ73" s="31">
        <v>165</v>
      </c>
      <c r="FA73" s="31">
        <v>210</v>
      </c>
      <c r="FB73" s="31">
        <v>170</v>
      </c>
      <c r="FC73" s="31">
        <v>210</v>
      </c>
      <c r="FD73" s="31">
        <v>232</v>
      </c>
      <c r="FE73" s="31">
        <v>236</v>
      </c>
      <c r="FF73" s="31">
        <v>213</v>
      </c>
      <c r="FG73" s="31">
        <v>225</v>
      </c>
      <c r="FH73" s="31">
        <v>226</v>
      </c>
      <c r="FI73" s="31">
        <v>215</v>
      </c>
      <c r="FJ73" s="31">
        <v>245</v>
      </c>
      <c r="FK73" s="31">
        <v>237</v>
      </c>
      <c r="FL73" s="31">
        <v>211</v>
      </c>
      <c r="FM73" s="31">
        <v>194</v>
      </c>
      <c r="FN73" s="31">
        <v>187</v>
      </c>
      <c r="FO73" s="31">
        <v>201</v>
      </c>
      <c r="FP73" s="31">
        <v>191</v>
      </c>
      <c r="FQ73" s="31">
        <v>201</v>
      </c>
      <c r="FR73" s="31">
        <v>193</v>
      </c>
      <c r="FS73" s="31">
        <v>182</v>
      </c>
      <c r="FT73" s="31">
        <v>166</v>
      </c>
      <c r="FU73" s="31">
        <v>201</v>
      </c>
      <c r="FV73" s="31">
        <v>181</v>
      </c>
      <c r="FW73" s="31">
        <v>175</v>
      </c>
      <c r="FX73" s="31">
        <v>172</v>
      </c>
      <c r="FY73" s="31">
        <v>159</v>
      </c>
      <c r="FZ73" s="31">
        <v>208</v>
      </c>
      <c r="GA73" s="31">
        <v>144</v>
      </c>
      <c r="GB73" s="31">
        <v>120</v>
      </c>
      <c r="GC73" s="31">
        <v>116</v>
      </c>
      <c r="GD73" s="31">
        <v>148</v>
      </c>
      <c r="GE73" s="31">
        <v>104</v>
      </c>
      <c r="GF73" s="31">
        <v>138</v>
      </c>
      <c r="GG73" s="31">
        <v>126</v>
      </c>
      <c r="GH73" s="31">
        <v>105</v>
      </c>
      <c r="GI73" s="31">
        <v>95</v>
      </c>
      <c r="GJ73" s="31">
        <v>73</v>
      </c>
      <c r="GK73" s="31">
        <v>71</v>
      </c>
      <c r="GL73" s="31">
        <v>61</v>
      </c>
      <c r="GM73" s="31">
        <v>40</v>
      </c>
      <c r="GN73" s="32">
        <v>201</v>
      </c>
    </row>
    <row r="74" spans="1:196" ht="15" x14ac:dyDescent="0.25">
      <c r="D74" s="929">
        <f>SUM(D60:D73)</f>
        <v>2541946</v>
      </c>
      <c r="E74" s="929">
        <f t="shared" ref="E74:BP74" si="40">SUM(E60:E73)</f>
        <v>2700886</v>
      </c>
      <c r="F74" s="930">
        <f t="shared" si="40"/>
        <v>5490100</v>
      </c>
      <c r="G74" s="931">
        <f t="shared" si="40"/>
        <v>2668951</v>
      </c>
      <c r="H74" s="931">
        <f t="shared" si="40"/>
        <v>2821149</v>
      </c>
      <c r="I74" s="929">
        <f t="shared" si="40"/>
        <v>2541946</v>
      </c>
      <c r="J74" s="929">
        <f t="shared" si="40"/>
        <v>2700886</v>
      </c>
      <c r="K74" s="930">
        <f t="shared" si="40"/>
        <v>362496</v>
      </c>
      <c r="L74" s="931">
        <f t="shared" si="40"/>
        <v>344579</v>
      </c>
      <c r="M74" s="931">
        <f t="shared" si="40"/>
        <v>2335786</v>
      </c>
      <c r="N74" s="931">
        <f t="shared" si="40"/>
        <v>2505771</v>
      </c>
      <c r="O74" s="931">
        <f t="shared" si="40"/>
        <v>23697</v>
      </c>
      <c r="P74" s="931">
        <f t="shared" si="40"/>
        <v>24983</v>
      </c>
      <c r="Q74" s="931">
        <f t="shared" si="40"/>
        <v>25102</v>
      </c>
      <c r="R74" s="931">
        <f t="shared" si="40"/>
        <v>25785</v>
      </c>
      <c r="S74" s="931">
        <f t="shared" si="40"/>
        <v>27438</v>
      </c>
      <c r="T74" s="931">
        <f t="shared" si="40"/>
        <v>27186</v>
      </c>
      <c r="U74" s="931">
        <f t="shared" si="40"/>
        <v>28046</v>
      </c>
      <c r="V74" s="931">
        <f t="shared" si="40"/>
        <v>29473</v>
      </c>
      <c r="W74" s="931">
        <f t="shared" si="40"/>
        <v>29658</v>
      </c>
      <c r="X74" s="931">
        <f t="shared" si="40"/>
        <v>29975</v>
      </c>
      <c r="Y74" s="931">
        <f t="shared" si="40"/>
        <v>30381</v>
      </c>
      <c r="Z74" s="931">
        <f t="shared" si="40"/>
        <v>31441</v>
      </c>
      <c r="AA74" s="931">
        <f t="shared" si="40"/>
        <v>31600</v>
      </c>
      <c r="AB74" s="931">
        <f t="shared" si="40"/>
        <v>31277</v>
      </c>
      <c r="AC74" s="931">
        <f t="shared" si="40"/>
        <v>31392</v>
      </c>
      <c r="AD74" s="931">
        <f t="shared" si="40"/>
        <v>31378</v>
      </c>
      <c r="AE74" s="931">
        <f t="shared" si="40"/>
        <v>30689</v>
      </c>
      <c r="AF74" s="931">
        <f t="shared" si="40"/>
        <v>30374</v>
      </c>
      <c r="AG74" s="931">
        <f t="shared" si="40"/>
        <v>29447</v>
      </c>
      <c r="AH74" s="931">
        <f t="shared" si="40"/>
        <v>31989</v>
      </c>
      <c r="AI74" s="931">
        <f t="shared" si="40"/>
        <v>33954</v>
      </c>
      <c r="AJ74" s="931">
        <f t="shared" si="40"/>
        <v>33459</v>
      </c>
      <c r="AK74" s="931">
        <f t="shared" si="40"/>
        <v>34364</v>
      </c>
      <c r="AL74" s="931">
        <f t="shared" si="40"/>
        <v>35807</v>
      </c>
      <c r="AM74" s="931">
        <f t="shared" si="40"/>
        <v>34700</v>
      </c>
      <c r="AN74" s="931">
        <f t="shared" si="40"/>
        <v>33839</v>
      </c>
      <c r="AO74" s="931">
        <f t="shared" si="40"/>
        <v>34291</v>
      </c>
      <c r="AP74" s="931">
        <f t="shared" si="40"/>
        <v>33506</v>
      </c>
      <c r="AQ74" s="931">
        <f t="shared" si="40"/>
        <v>33558</v>
      </c>
      <c r="AR74" s="931">
        <f t="shared" si="40"/>
        <v>34083</v>
      </c>
      <c r="AS74" s="931">
        <f t="shared" si="40"/>
        <v>34038</v>
      </c>
      <c r="AT74" s="931">
        <f t="shared" si="40"/>
        <v>35185</v>
      </c>
      <c r="AU74" s="931">
        <f t="shared" si="40"/>
        <v>36258</v>
      </c>
      <c r="AV74" s="931">
        <f t="shared" si="40"/>
        <v>35063</v>
      </c>
      <c r="AW74" s="931">
        <f t="shared" si="40"/>
        <v>35148</v>
      </c>
      <c r="AX74" s="931">
        <f t="shared" si="40"/>
        <v>35887</v>
      </c>
      <c r="AY74" s="931">
        <f t="shared" si="40"/>
        <v>34541</v>
      </c>
      <c r="AZ74" s="931">
        <f t="shared" si="40"/>
        <v>34850</v>
      </c>
      <c r="BA74" s="931">
        <f t="shared" si="40"/>
        <v>34684</v>
      </c>
      <c r="BB74" s="931">
        <f t="shared" si="40"/>
        <v>33926</v>
      </c>
      <c r="BC74" s="931">
        <f t="shared" si="40"/>
        <v>33801</v>
      </c>
      <c r="BD74" s="931">
        <f t="shared" si="40"/>
        <v>33894</v>
      </c>
      <c r="BE74" s="931">
        <f t="shared" si="40"/>
        <v>34401</v>
      </c>
      <c r="BF74" s="931">
        <f t="shared" si="40"/>
        <v>33738</v>
      </c>
      <c r="BG74" s="931">
        <f t="shared" si="40"/>
        <v>33438</v>
      </c>
      <c r="BH74" s="931">
        <f t="shared" si="40"/>
        <v>29822</v>
      </c>
      <c r="BI74" s="931">
        <f t="shared" si="40"/>
        <v>29780</v>
      </c>
      <c r="BJ74" s="931">
        <f t="shared" si="40"/>
        <v>31396</v>
      </c>
      <c r="BK74" s="931">
        <f t="shared" si="40"/>
        <v>31670</v>
      </c>
      <c r="BL74" s="931">
        <f t="shared" si="40"/>
        <v>32572</v>
      </c>
      <c r="BM74" s="931">
        <f t="shared" si="40"/>
        <v>33919</v>
      </c>
      <c r="BN74" s="931">
        <f t="shared" si="40"/>
        <v>35274</v>
      </c>
      <c r="BO74" s="931">
        <f t="shared" si="40"/>
        <v>37067</v>
      </c>
      <c r="BP74" s="931">
        <f t="shared" si="40"/>
        <v>37145</v>
      </c>
      <c r="BQ74" s="931">
        <f t="shared" ref="BQ74:EB74" si="41">SUM(BQ60:BQ73)</f>
        <v>38468</v>
      </c>
      <c r="BR74" s="931">
        <f t="shared" si="41"/>
        <v>38990</v>
      </c>
      <c r="BS74" s="931">
        <f t="shared" si="41"/>
        <v>39457</v>
      </c>
      <c r="BT74" s="931">
        <f t="shared" si="41"/>
        <v>38802</v>
      </c>
      <c r="BU74" s="931">
        <f t="shared" si="41"/>
        <v>40192</v>
      </c>
      <c r="BV74" s="931">
        <f t="shared" si="41"/>
        <v>39580</v>
      </c>
      <c r="BW74" s="931">
        <f t="shared" si="41"/>
        <v>39088</v>
      </c>
      <c r="BX74" s="931">
        <f t="shared" si="41"/>
        <v>37976</v>
      </c>
      <c r="BY74" s="931">
        <f t="shared" si="41"/>
        <v>36600</v>
      </c>
      <c r="BZ74" s="931">
        <f t="shared" si="41"/>
        <v>35954</v>
      </c>
      <c r="CA74" s="931">
        <f t="shared" si="41"/>
        <v>35134</v>
      </c>
      <c r="CB74" s="931">
        <f t="shared" si="41"/>
        <v>34160</v>
      </c>
      <c r="CC74" s="931">
        <f t="shared" si="41"/>
        <v>32503</v>
      </c>
      <c r="CD74" s="931">
        <f t="shared" si="41"/>
        <v>31339</v>
      </c>
      <c r="CE74" s="931">
        <f t="shared" si="41"/>
        <v>29803</v>
      </c>
      <c r="CF74" s="931">
        <f t="shared" si="41"/>
        <v>28870</v>
      </c>
      <c r="CG74" s="931">
        <f t="shared" si="41"/>
        <v>28104</v>
      </c>
      <c r="CH74" s="931">
        <f t="shared" si="41"/>
        <v>26489</v>
      </c>
      <c r="CI74" s="931">
        <f t="shared" si="41"/>
        <v>26217</v>
      </c>
      <c r="CJ74" s="931">
        <f t="shared" si="41"/>
        <v>25626</v>
      </c>
      <c r="CK74" s="931">
        <f t="shared" si="41"/>
        <v>25968</v>
      </c>
      <c r="CL74" s="931">
        <f t="shared" si="41"/>
        <v>25943</v>
      </c>
      <c r="CM74" s="931">
        <f t="shared" si="41"/>
        <v>26961</v>
      </c>
      <c r="CN74" s="931">
        <f t="shared" si="41"/>
        <v>19809</v>
      </c>
      <c r="CO74" s="931">
        <f t="shared" si="41"/>
        <v>17656</v>
      </c>
      <c r="CP74" s="931">
        <f t="shared" si="41"/>
        <v>17402</v>
      </c>
      <c r="CQ74" s="931">
        <f t="shared" si="41"/>
        <v>15702</v>
      </c>
      <c r="CR74" s="931">
        <f t="shared" si="41"/>
        <v>13715</v>
      </c>
      <c r="CS74" s="931">
        <f t="shared" si="41"/>
        <v>11435</v>
      </c>
      <c r="CT74" s="931">
        <f t="shared" si="41"/>
        <v>11049</v>
      </c>
      <c r="CU74" s="931">
        <f t="shared" si="41"/>
        <v>10064</v>
      </c>
      <c r="CV74" s="931">
        <f t="shared" si="41"/>
        <v>9118</v>
      </c>
      <c r="CW74" s="931">
        <f t="shared" si="41"/>
        <v>7745</v>
      </c>
      <c r="CX74" s="931">
        <f t="shared" si="41"/>
        <v>6713</v>
      </c>
      <c r="CY74" s="931">
        <f t="shared" si="41"/>
        <v>5755</v>
      </c>
      <c r="CZ74" s="931">
        <f t="shared" si="41"/>
        <v>4659</v>
      </c>
      <c r="DA74" s="931">
        <f t="shared" si="41"/>
        <v>15536</v>
      </c>
      <c r="DB74" s="931">
        <f t="shared" si="41"/>
        <v>22500</v>
      </c>
      <c r="DC74" s="931">
        <f t="shared" si="41"/>
        <v>23492</v>
      </c>
      <c r="DD74" s="931">
        <f t="shared" si="41"/>
        <v>23858</v>
      </c>
      <c r="DE74" s="931">
        <f t="shared" si="41"/>
        <v>24564</v>
      </c>
      <c r="DF74" s="931">
        <f t="shared" si="41"/>
        <v>25849</v>
      </c>
      <c r="DG74" s="931">
        <f t="shared" si="41"/>
        <v>25726</v>
      </c>
      <c r="DH74" s="931">
        <f t="shared" si="41"/>
        <v>26472</v>
      </c>
      <c r="DI74" s="931">
        <f t="shared" si="41"/>
        <v>27694</v>
      </c>
      <c r="DJ74" s="931">
        <f t="shared" si="41"/>
        <v>28102</v>
      </c>
      <c r="DK74" s="931">
        <f t="shared" si="41"/>
        <v>28366</v>
      </c>
      <c r="DL74" s="931">
        <f t="shared" si="41"/>
        <v>29148</v>
      </c>
      <c r="DM74" s="931">
        <f t="shared" si="41"/>
        <v>29607</v>
      </c>
      <c r="DN74" s="931">
        <f t="shared" si="41"/>
        <v>29964</v>
      </c>
      <c r="DO74" s="931">
        <f t="shared" si="41"/>
        <v>30345</v>
      </c>
      <c r="DP74" s="931">
        <f t="shared" si="41"/>
        <v>29910</v>
      </c>
      <c r="DQ74" s="931">
        <f t="shared" si="41"/>
        <v>30286</v>
      </c>
      <c r="DR74" s="931">
        <f t="shared" si="41"/>
        <v>28959</v>
      </c>
      <c r="DS74" s="931">
        <f t="shared" si="41"/>
        <v>28813</v>
      </c>
      <c r="DT74" s="931">
        <f t="shared" si="41"/>
        <v>27895</v>
      </c>
      <c r="DU74" s="931">
        <f t="shared" si="41"/>
        <v>31172</v>
      </c>
      <c r="DV74" s="931">
        <f t="shared" si="41"/>
        <v>33966</v>
      </c>
      <c r="DW74" s="931">
        <f t="shared" si="41"/>
        <v>34004</v>
      </c>
      <c r="DX74" s="931">
        <f t="shared" si="41"/>
        <v>34645</v>
      </c>
      <c r="DY74" s="931">
        <f t="shared" si="41"/>
        <v>36571</v>
      </c>
      <c r="DZ74" s="931">
        <f t="shared" si="41"/>
        <v>35745</v>
      </c>
      <c r="EA74" s="931">
        <f t="shared" si="41"/>
        <v>34503</v>
      </c>
      <c r="EB74" s="931">
        <f t="shared" si="41"/>
        <v>35084</v>
      </c>
      <c r="EC74" s="931">
        <f t="shared" ref="EC74:GN74" si="42">SUM(EC60:EC73)</f>
        <v>34526</v>
      </c>
      <c r="ED74" s="931">
        <f t="shared" si="42"/>
        <v>34233</v>
      </c>
      <c r="EE74" s="931">
        <f t="shared" si="42"/>
        <v>35626</v>
      </c>
      <c r="EF74" s="931">
        <f t="shared" si="42"/>
        <v>36272</v>
      </c>
      <c r="EG74" s="931">
        <f t="shared" si="42"/>
        <v>37397</v>
      </c>
      <c r="EH74" s="931">
        <f t="shared" si="42"/>
        <v>37863</v>
      </c>
      <c r="EI74" s="931">
        <f t="shared" si="42"/>
        <v>36872</v>
      </c>
      <c r="EJ74" s="931">
        <f t="shared" si="42"/>
        <v>36894</v>
      </c>
      <c r="EK74" s="931">
        <f t="shared" si="42"/>
        <v>37731</v>
      </c>
      <c r="EL74" s="931">
        <f t="shared" si="42"/>
        <v>36304</v>
      </c>
      <c r="EM74" s="931">
        <f t="shared" si="42"/>
        <v>36557</v>
      </c>
      <c r="EN74" s="931">
        <f t="shared" si="42"/>
        <v>36947</v>
      </c>
      <c r="EO74" s="931">
        <f t="shared" si="42"/>
        <v>35692</v>
      </c>
      <c r="EP74" s="931">
        <f t="shared" si="42"/>
        <v>36156</v>
      </c>
      <c r="EQ74" s="931">
        <f t="shared" si="42"/>
        <v>36072</v>
      </c>
      <c r="ER74" s="931">
        <f t="shared" si="42"/>
        <v>36335</v>
      </c>
      <c r="ES74" s="931">
        <f t="shared" si="42"/>
        <v>35125</v>
      </c>
      <c r="ET74" s="931">
        <f t="shared" si="42"/>
        <v>34160</v>
      </c>
      <c r="EU74" s="931">
        <f t="shared" si="42"/>
        <v>32168</v>
      </c>
      <c r="EV74" s="931">
        <f t="shared" si="42"/>
        <v>31282</v>
      </c>
      <c r="EW74" s="931">
        <f t="shared" si="42"/>
        <v>33145</v>
      </c>
      <c r="EX74" s="931">
        <f t="shared" si="42"/>
        <v>33516</v>
      </c>
      <c r="EY74" s="931">
        <f t="shared" si="42"/>
        <v>34110</v>
      </c>
      <c r="EZ74" s="931">
        <f t="shared" si="42"/>
        <v>35928</v>
      </c>
      <c r="FA74" s="931">
        <f t="shared" si="42"/>
        <v>38323</v>
      </c>
      <c r="FB74" s="931">
        <f t="shared" si="42"/>
        <v>40086</v>
      </c>
      <c r="FC74" s="931">
        <f t="shared" si="42"/>
        <v>39803</v>
      </c>
      <c r="FD74" s="931">
        <f t="shared" si="42"/>
        <v>40952</v>
      </c>
      <c r="FE74" s="931">
        <f t="shared" si="42"/>
        <v>41706</v>
      </c>
      <c r="FF74" s="931">
        <f t="shared" si="42"/>
        <v>41340</v>
      </c>
      <c r="FG74" s="931">
        <f t="shared" si="42"/>
        <v>41476</v>
      </c>
      <c r="FH74" s="931">
        <f t="shared" si="42"/>
        <v>42681</v>
      </c>
      <c r="FI74" s="931">
        <f t="shared" si="42"/>
        <v>42532</v>
      </c>
      <c r="FJ74" s="931">
        <f t="shared" si="42"/>
        <v>41824</v>
      </c>
      <c r="FK74" s="931">
        <f t="shared" si="42"/>
        <v>40002</v>
      </c>
      <c r="FL74" s="931">
        <f t="shared" si="42"/>
        <v>38935</v>
      </c>
      <c r="FM74" s="931">
        <f t="shared" si="42"/>
        <v>37965</v>
      </c>
      <c r="FN74" s="931">
        <f t="shared" si="42"/>
        <v>37353</v>
      </c>
      <c r="FO74" s="931">
        <f t="shared" si="42"/>
        <v>36673</v>
      </c>
      <c r="FP74" s="931">
        <f t="shared" si="42"/>
        <v>34695</v>
      </c>
      <c r="FQ74" s="931">
        <f t="shared" si="42"/>
        <v>33689</v>
      </c>
      <c r="FR74" s="931">
        <f t="shared" si="42"/>
        <v>32368</v>
      </c>
      <c r="FS74" s="931">
        <f t="shared" si="42"/>
        <v>31220</v>
      </c>
      <c r="FT74" s="931">
        <f t="shared" si="42"/>
        <v>30435</v>
      </c>
      <c r="FU74" s="931">
        <f t="shared" si="42"/>
        <v>28968</v>
      </c>
      <c r="FV74" s="931">
        <f t="shared" si="42"/>
        <v>28982</v>
      </c>
      <c r="FW74" s="931">
        <f t="shared" si="42"/>
        <v>28509</v>
      </c>
      <c r="FX74" s="931">
        <f t="shared" si="42"/>
        <v>29030</v>
      </c>
      <c r="FY74" s="931">
        <f t="shared" si="42"/>
        <v>29381</v>
      </c>
      <c r="FZ74" s="931">
        <f t="shared" si="42"/>
        <v>31124</v>
      </c>
      <c r="GA74" s="931">
        <f t="shared" si="42"/>
        <v>22886</v>
      </c>
      <c r="GB74" s="931">
        <f t="shared" si="42"/>
        <v>21486</v>
      </c>
      <c r="GC74" s="931">
        <f t="shared" si="42"/>
        <v>21176</v>
      </c>
      <c r="GD74" s="931">
        <f t="shared" si="42"/>
        <v>20180</v>
      </c>
      <c r="GE74" s="931">
        <f t="shared" si="42"/>
        <v>18037</v>
      </c>
      <c r="GF74" s="931">
        <f t="shared" si="42"/>
        <v>15775</v>
      </c>
      <c r="GG74" s="931">
        <f t="shared" si="42"/>
        <v>15630</v>
      </c>
      <c r="GH74" s="931">
        <f t="shared" si="42"/>
        <v>14472</v>
      </c>
      <c r="GI74" s="931">
        <f t="shared" si="42"/>
        <v>13254</v>
      </c>
      <c r="GJ74" s="931">
        <f t="shared" si="42"/>
        <v>11706</v>
      </c>
      <c r="GK74" s="931">
        <f t="shared" si="42"/>
        <v>10758</v>
      </c>
      <c r="GL74" s="931">
        <f t="shared" si="42"/>
        <v>9409</v>
      </c>
      <c r="GM74" s="931">
        <f t="shared" si="42"/>
        <v>8166</v>
      </c>
      <c r="GN74" s="932">
        <f t="shared" si="42"/>
        <v>30011</v>
      </c>
    </row>
    <row r="75" spans="1:196" x14ac:dyDescent="0.2">
      <c r="D75" s="43"/>
      <c r="E75" s="43"/>
      <c r="F75" s="43"/>
      <c r="G75" s="43"/>
      <c r="H75" s="43"/>
      <c r="I75" s="43"/>
      <c r="J75" s="43"/>
      <c r="K75" s="43"/>
      <c r="L75" s="43"/>
      <c r="M75" s="43"/>
      <c r="N75" s="4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row>
    <row r="76" spans="1:196" ht="15" x14ac:dyDescent="0.25">
      <c r="A76" s="288" t="s">
        <v>82</v>
      </c>
      <c r="B76" s="289"/>
      <c r="C76" s="290"/>
      <c r="D76" s="291"/>
      <c r="E76" s="291"/>
      <c r="F76" s="291"/>
      <c r="G76" s="578"/>
      <c r="H76" s="43"/>
      <c r="I76" s="43"/>
      <c r="J76" s="43"/>
      <c r="K76" s="43"/>
      <c r="L76" s="43"/>
      <c r="M76" s="43"/>
      <c r="N76" s="4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row>
    <row r="77" spans="1:196" x14ac:dyDescent="0.2">
      <c r="D77" s="43"/>
      <c r="E77" s="43"/>
      <c r="F77" s="43"/>
      <c r="G77" s="43"/>
      <c r="H77" s="43"/>
      <c r="I77" s="43"/>
      <c r="J77" s="43"/>
      <c r="K77" s="43"/>
      <c r="L77" s="43"/>
      <c r="M77" s="43"/>
      <c r="N77" s="4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row>
    <row r="78" spans="1:196" ht="15" x14ac:dyDescent="0.25">
      <c r="C78" s="11"/>
      <c r="D78" s="579" t="s">
        <v>83</v>
      </c>
      <c r="E78" s="292" t="s">
        <v>84</v>
      </c>
      <c r="F78" s="579" t="s">
        <v>85</v>
      </c>
      <c r="G78" s="43"/>
      <c r="H78" s="43"/>
      <c r="I78" s="43"/>
      <c r="J78" s="43"/>
      <c r="K78" s="43"/>
      <c r="L78" s="43"/>
      <c r="M78" s="43"/>
      <c r="N78" s="4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row>
    <row r="79" spans="1:196" ht="15" x14ac:dyDescent="0.25">
      <c r="C79" s="11"/>
      <c r="D79" s="580" t="s">
        <v>86</v>
      </c>
      <c r="E79" s="293" t="s">
        <v>87</v>
      </c>
      <c r="F79" s="580" t="s">
        <v>88</v>
      </c>
      <c r="G79" s="43"/>
      <c r="H79" s="43"/>
      <c r="I79" s="43"/>
      <c r="J79" s="43"/>
      <c r="K79" s="43"/>
      <c r="L79" s="43"/>
      <c r="M79" s="43"/>
      <c r="N79" s="4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row>
    <row r="80" spans="1:196" ht="15" x14ac:dyDescent="0.25">
      <c r="C80" s="11"/>
      <c r="D80" s="580" t="s">
        <v>89</v>
      </c>
      <c r="E80" s="293" t="s">
        <v>90</v>
      </c>
      <c r="F80" s="580" t="s">
        <v>91</v>
      </c>
      <c r="G80" s="43"/>
      <c r="H80" s="43"/>
      <c r="I80" s="43"/>
      <c r="J80" s="43"/>
      <c r="K80" s="43"/>
      <c r="L80" s="43"/>
      <c r="M80" s="43"/>
      <c r="N80" s="4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row>
    <row r="81" spans="1:44" ht="15" x14ac:dyDescent="0.25">
      <c r="C81" s="1" t="s">
        <v>92</v>
      </c>
      <c r="D81" s="581">
        <v>60238038</v>
      </c>
      <c r="E81" s="294"/>
      <c r="F81" s="582"/>
      <c r="G81" s="43"/>
      <c r="H81" s="43"/>
      <c r="I81" s="43"/>
      <c r="J81" s="43"/>
      <c r="K81" s="43"/>
      <c r="L81" s="43"/>
      <c r="M81" s="43"/>
      <c r="N81" s="4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row>
    <row r="82" spans="1:44" ht="15" x14ac:dyDescent="0.25">
      <c r="C82" s="295" t="s">
        <v>93</v>
      </c>
      <c r="D82" s="583"/>
      <c r="E82" s="296">
        <v>60856434</v>
      </c>
      <c r="F82" s="581">
        <v>61476132</v>
      </c>
      <c r="G82" s="43"/>
      <c r="H82" s="43"/>
      <c r="I82" s="43"/>
      <c r="J82" s="43"/>
      <c r="K82" s="43"/>
      <c r="L82" s="43"/>
      <c r="M82" s="43"/>
      <c r="N82" s="4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row>
    <row r="83" spans="1:44" ht="15" x14ac:dyDescent="0.25">
      <c r="C83" s="295" t="s">
        <v>94</v>
      </c>
      <c r="D83" s="583"/>
      <c r="E83" s="297">
        <f>(E82-D81)/D81</f>
        <v>1.0265872205200309E-2</v>
      </c>
      <c r="F83" s="584">
        <f>(F82-D81)/D81</f>
        <v>2.0553358660187437E-2</v>
      </c>
      <c r="G83" s="298">
        <v>2.0553358660187399E-2</v>
      </c>
      <c r="H83" s="43"/>
      <c r="I83" s="43"/>
      <c r="J83" s="43"/>
      <c r="K83" s="43"/>
      <c r="L83" s="43"/>
      <c r="M83" s="43"/>
      <c r="N83" s="4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row>
    <row r="84" spans="1:44" ht="15" x14ac:dyDescent="0.25">
      <c r="C84" s="295" t="s">
        <v>95</v>
      </c>
      <c r="D84" s="583"/>
      <c r="E84" s="299"/>
      <c r="F84" s="581">
        <f>D81*(100%+F83)</f>
        <v>61476131.999999993</v>
      </c>
      <c r="G84" s="43"/>
      <c r="H84" s="43"/>
      <c r="I84" s="43"/>
      <c r="J84" s="43"/>
      <c r="K84" s="43"/>
      <c r="L84" s="43"/>
      <c r="M84" s="43"/>
      <c r="N84" s="4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row>
    <row r="85" spans="1:44" ht="15" x14ac:dyDescent="0.25">
      <c r="C85" s="295" t="s">
        <v>96</v>
      </c>
      <c r="D85" s="583"/>
      <c r="E85" s="299"/>
      <c r="F85" s="581">
        <f>F84-F82</f>
        <v>0</v>
      </c>
      <c r="G85" s="43"/>
      <c r="H85" s="43"/>
      <c r="I85" s="43"/>
      <c r="J85" s="43"/>
      <c r="K85" s="43"/>
      <c r="L85" s="43"/>
      <c r="M85" s="43"/>
      <c r="N85" s="4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row>
    <row r="86" spans="1:44" x14ac:dyDescent="0.2">
      <c r="D86" s="43"/>
      <c r="E86" s="43"/>
      <c r="F86" s="43"/>
      <c r="G86" s="43"/>
      <c r="H86" s="43"/>
      <c r="I86" s="43"/>
      <c r="J86" s="43"/>
      <c r="K86" s="43"/>
      <c r="L86" s="43"/>
      <c r="M86" s="43"/>
      <c r="N86" s="4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row>
    <row r="87" spans="1:44" x14ac:dyDescent="0.2">
      <c r="D87" s="43"/>
      <c r="E87" s="43"/>
      <c r="F87" s="43"/>
      <c r="G87" s="43"/>
      <c r="H87" s="43"/>
      <c r="I87" s="43"/>
      <c r="J87" s="43"/>
      <c r="K87" s="43"/>
      <c r="L87" s="43"/>
      <c r="M87" s="43"/>
      <c r="N87" s="4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row>
    <row r="88" spans="1:44" x14ac:dyDescent="0.2">
      <c r="A88" s="585"/>
      <c r="B88" s="586"/>
      <c r="C88" s="525" t="s">
        <v>97</v>
      </c>
      <c r="D88" s="524" t="s">
        <v>98</v>
      </c>
      <c r="E88" s="524" t="s">
        <v>99</v>
      </c>
      <c r="F88" s="524" t="s">
        <v>100</v>
      </c>
      <c r="G88" s="524" t="s">
        <v>101</v>
      </c>
      <c r="H88" s="524" t="s">
        <v>102</v>
      </c>
      <c r="I88" s="524" t="s">
        <v>103</v>
      </c>
      <c r="J88" s="587" t="s">
        <v>104</v>
      </c>
      <c r="K88" s="588" t="s">
        <v>105</v>
      </c>
      <c r="L88" s="589" t="s">
        <v>106</v>
      </c>
      <c r="M88" s="7"/>
      <c r="N88" s="7"/>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row>
    <row r="89" spans="1:44" x14ac:dyDescent="0.2">
      <c r="A89" s="287" t="s">
        <v>107</v>
      </c>
      <c r="C89" s="525" t="s">
        <v>108</v>
      </c>
      <c r="D89" s="975" t="s">
        <v>109</v>
      </c>
      <c r="E89" s="976"/>
      <c r="F89" s="976"/>
      <c r="G89" s="976"/>
      <c r="H89" s="976"/>
      <c r="I89" s="977"/>
      <c r="J89" s="6"/>
      <c r="K89" s="6"/>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row>
    <row r="90" spans="1:44" x14ac:dyDescent="0.2">
      <c r="A90" s="287" t="s">
        <v>107</v>
      </c>
      <c r="B90" s="11">
        <v>0</v>
      </c>
      <c r="C90" s="523" t="s">
        <v>110</v>
      </c>
      <c r="D90" s="590"/>
      <c r="E90" s="590"/>
      <c r="F90" s="590"/>
      <c r="G90" s="590"/>
      <c r="H90" s="590"/>
      <c r="I90" s="590"/>
      <c r="J90" s="6"/>
      <c r="K90" s="6"/>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row>
    <row r="91" spans="1:44" x14ac:dyDescent="0.2">
      <c r="A91" s="287" t="s">
        <v>107</v>
      </c>
      <c r="B91" s="11">
        <v>1</v>
      </c>
      <c r="C91" s="523" t="s">
        <v>111</v>
      </c>
      <c r="D91" s="590"/>
      <c r="E91" s="590">
        <v>1.0090702843828887</v>
      </c>
      <c r="F91" s="590">
        <v>1.0170393771683619</v>
      </c>
      <c r="G91" s="590">
        <v>1.0238793000184203</v>
      </c>
      <c r="H91" s="590">
        <v>1.0295635385778663</v>
      </c>
      <c r="I91" s="590">
        <v>1.0351195322438309</v>
      </c>
      <c r="J91" s="591">
        <f>(I91-100%)/5</f>
        <v>7.0239064487661821E-3</v>
      </c>
      <c r="K91" s="592">
        <f t="shared" ref="K91:K104" si="43">(I91/100%)^(1/5)-1</f>
        <v>6.9272652964273984E-3</v>
      </c>
      <c r="L91" s="593">
        <v>6.9272652964273984E-3</v>
      </c>
      <c r="M91" s="345"/>
      <c r="N91" s="345"/>
      <c r="O91" s="252"/>
      <c r="P91" s="252"/>
      <c r="Q91" s="25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row>
    <row r="92" spans="1:44" x14ac:dyDescent="0.2">
      <c r="A92" s="287" t="s">
        <v>107</v>
      </c>
      <c r="B92" s="11">
        <v>2</v>
      </c>
      <c r="C92" s="523" t="s">
        <v>112</v>
      </c>
      <c r="D92" s="590"/>
      <c r="E92" s="590">
        <v>0.96173452499784384</v>
      </c>
      <c r="F92" s="590">
        <v>0.949547172001034</v>
      </c>
      <c r="G92" s="590">
        <v>0.93849673400054612</v>
      </c>
      <c r="H92" s="590">
        <v>0.92766778564091124</v>
      </c>
      <c r="I92" s="590">
        <v>0.91680012001884892</v>
      </c>
      <c r="J92" s="591">
        <f t="shared" ref="J92:J104" si="44">(I92-100%)/5</f>
        <v>-1.6639975996230218E-2</v>
      </c>
      <c r="K92" s="592">
        <f t="shared" si="43"/>
        <v>-1.7223117235316776E-2</v>
      </c>
      <c r="L92" s="593">
        <v>-1.7223117235316776E-2</v>
      </c>
      <c r="M92" s="345"/>
      <c r="N92" s="345"/>
      <c r="O92" s="252"/>
      <c r="P92" s="252"/>
      <c r="Q92" s="25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row>
    <row r="93" spans="1:44" x14ac:dyDescent="0.2">
      <c r="A93" s="287" t="s">
        <v>107</v>
      </c>
      <c r="B93" s="11">
        <v>3</v>
      </c>
      <c r="C93" s="523" t="s">
        <v>113</v>
      </c>
      <c r="D93" s="590"/>
      <c r="E93" s="590">
        <v>1.0707061745580608</v>
      </c>
      <c r="F93" s="590">
        <v>1.0961797739954167</v>
      </c>
      <c r="G93" s="590">
        <v>1.1120352164720533</v>
      </c>
      <c r="H93" s="590">
        <v>1.1172916519636134</v>
      </c>
      <c r="I93" s="590">
        <v>1.1228072524832799</v>
      </c>
      <c r="J93" s="591">
        <f t="shared" si="44"/>
        <v>2.4561450496655989E-2</v>
      </c>
      <c r="K93" s="592">
        <f t="shared" si="43"/>
        <v>2.3436830336478032E-2</v>
      </c>
      <c r="L93" s="593">
        <v>2.3436830336478032E-2</v>
      </c>
      <c r="M93" s="345"/>
      <c r="N93" s="345"/>
      <c r="O93" s="252"/>
      <c r="P93" s="252"/>
      <c r="Q93" s="25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row>
    <row r="94" spans="1:44" x14ac:dyDescent="0.2">
      <c r="A94" s="287" t="s">
        <v>107</v>
      </c>
      <c r="B94" s="11">
        <v>4</v>
      </c>
      <c r="C94" s="523" t="s">
        <v>114</v>
      </c>
      <c r="D94" s="590"/>
      <c r="E94" s="590">
        <v>0.99704312080608826</v>
      </c>
      <c r="F94" s="590">
        <v>0.99705853203848904</v>
      </c>
      <c r="G94" s="590">
        <v>0.99472603914083957</v>
      </c>
      <c r="H94" s="590">
        <v>0.9891090180954597</v>
      </c>
      <c r="I94" s="590">
        <v>0.98354979851924307</v>
      </c>
      <c r="J94" s="591">
        <f t="shared" si="44"/>
        <v>-3.2900402961513866E-3</v>
      </c>
      <c r="K94" s="592">
        <f t="shared" si="43"/>
        <v>-3.3119051937137156E-3</v>
      </c>
      <c r="L94" s="593">
        <v>-3.3119051937137156E-3</v>
      </c>
      <c r="M94" s="345"/>
      <c r="N94" s="345"/>
      <c r="O94" s="252"/>
      <c r="P94" s="252"/>
      <c r="Q94" s="25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row>
    <row r="95" spans="1:44" x14ac:dyDescent="0.2">
      <c r="A95" s="287" t="s">
        <v>107</v>
      </c>
      <c r="B95" s="11">
        <v>5</v>
      </c>
      <c r="C95" s="523" t="s">
        <v>115</v>
      </c>
      <c r="D95" s="590"/>
      <c r="E95" s="590">
        <v>0.99263087643060499</v>
      </c>
      <c r="F95" s="590">
        <v>0.99530151668079492</v>
      </c>
      <c r="G95" s="590">
        <v>0.99708461172748208</v>
      </c>
      <c r="H95" s="590">
        <v>0.99857946574262668</v>
      </c>
      <c r="I95" s="590">
        <v>1.0006058081967233</v>
      </c>
      <c r="J95" s="591">
        <f t="shared" si="44"/>
        <v>1.2116163934465796E-4</v>
      </c>
      <c r="K95" s="592">
        <f t="shared" si="43"/>
        <v>1.2113228972654433E-4</v>
      </c>
      <c r="L95" s="593">
        <v>1.2113228972654433E-4</v>
      </c>
      <c r="M95" s="345"/>
      <c r="N95" s="345"/>
      <c r="O95" s="252"/>
      <c r="P95" s="252"/>
      <c r="Q95" s="25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row>
    <row r="96" spans="1:44" x14ac:dyDescent="0.2">
      <c r="A96" s="287" t="s">
        <v>107</v>
      </c>
      <c r="B96" s="11">
        <v>6</v>
      </c>
      <c r="C96" s="594" t="s">
        <v>116</v>
      </c>
      <c r="D96" s="595"/>
      <c r="E96" s="595">
        <v>1.0123419501207302</v>
      </c>
      <c r="F96" s="595">
        <v>1.0224746276334522</v>
      </c>
      <c r="G96" s="595">
        <v>1.0318096590054313</v>
      </c>
      <c r="H96" s="595">
        <v>1.040568100689119</v>
      </c>
      <c r="I96" s="595">
        <v>1.0491476885800255</v>
      </c>
      <c r="J96" s="596">
        <f t="shared" si="44"/>
        <v>9.8295377160050983E-3</v>
      </c>
      <c r="K96" s="597">
        <f t="shared" si="43"/>
        <v>9.641807463928842E-3</v>
      </c>
      <c r="L96" s="598">
        <v>9.6418074639288403E-3</v>
      </c>
      <c r="M96" s="346"/>
      <c r="N96" s="346"/>
      <c r="O96" s="252"/>
      <c r="P96" s="252"/>
      <c r="Q96" s="253"/>
      <c r="R96" s="13"/>
      <c r="S96" s="254"/>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c r="AR96" s="13"/>
    </row>
    <row r="97" spans="1:44" x14ac:dyDescent="0.2">
      <c r="A97" s="287" t="s">
        <v>107</v>
      </c>
      <c r="B97" s="11">
        <v>7</v>
      </c>
      <c r="C97" s="523" t="s">
        <v>117</v>
      </c>
      <c r="D97" s="590"/>
      <c r="E97" s="590">
        <v>1.0234861902526262</v>
      </c>
      <c r="F97" s="590">
        <v>1.0362595252458171</v>
      </c>
      <c r="G97" s="590">
        <v>1.0484007089616401</v>
      </c>
      <c r="H97" s="590">
        <v>1.0594741481215733</v>
      </c>
      <c r="I97" s="590">
        <v>1.0705464348984648</v>
      </c>
      <c r="J97" s="591">
        <f t="shared" si="44"/>
        <v>1.4109286979692959E-2</v>
      </c>
      <c r="K97" s="592">
        <f t="shared" si="43"/>
        <v>1.372720562144969E-2</v>
      </c>
      <c r="L97" s="593">
        <v>1.372720562144969E-2</v>
      </c>
      <c r="M97" s="345"/>
      <c r="N97" s="345"/>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row>
    <row r="98" spans="1:44" x14ac:dyDescent="0.2">
      <c r="A98" s="287" t="s">
        <v>107</v>
      </c>
      <c r="B98" s="11">
        <v>8</v>
      </c>
      <c r="C98" s="523" t="s">
        <v>118</v>
      </c>
      <c r="D98" s="590"/>
      <c r="E98" s="590">
        <v>1.0327181385810218</v>
      </c>
      <c r="F98" s="590">
        <v>1.0462000918268668</v>
      </c>
      <c r="G98" s="590">
        <v>1.0579618766687933</v>
      </c>
      <c r="H98" s="590">
        <v>1.0679645783102321</v>
      </c>
      <c r="I98" s="590">
        <v>1.0772361012999514</v>
      </c>
      <c r="J98" s="591">
        <f t="shared" si="44"/>
        <v>1.544722025999028E-2</v>
      </c>
      <c r="K98" s="592">
        <f t="shared" si="43"/>
        <v>1.4990973227517745E-2</v>
      </c>
      <c r="L98" s="593">
        <v>1.4990973227517745E-2</v>
      </c>
      <c r="M98" s="345"/>
      <c r="N98" s="345"/>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row>
    <row r="99" spans="1:44" x14ac:dyDescent="0.2">
      <c r="A99" s="287" t="s">
        <v>107</v>
      </c>
      <c r="B99" s="11">
        <v>9</v>
      </c>
      <c r="C99" s="523" t="s">
        <v>119</v>
      </c>
      <c r="D99" s="590"/>
      <c r="E99" s="590">
        <v>1.0231841082591016</v>
      </c>
      <c r="F99" s="590">
        <v>1.0358890289056439</v>
      </c>
      <c r="G99" s="590">
        <v>1.0481652070229122</v>
      </c>
      <c r="H99" s="590">
        <v>1.0592891805745575</v>
      </c>
      <c r="I99" s="590">
        <v>1.069681907109314</v>
      </c>
      <c r="J99" s="591">
        <f t="shared" si="44"/>
        <v>1.3936381421862798E-2</v>
      </c>
      <c r="K99" s="592">
        <f t="shared" si="43"/>
        <v>1.3563424108683053E-2</v>
      </c>
      <c r="L99" s="593">
        <v>1.3563424108683053E-2</v>
      </c>
      <c r="M99" s="345"/>
      <c r="N99" s="345"/>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row>
    <row r="100" spans="1:44" x14ac:dyDescent="0.2">
      <c r="A100" s="287" t="s">
        <v>107</v>
      </c>
      <c r="B100" s="11">
        <v>10</v>
      </c>
      <c r="C100" s="523" t="s">
        <v>120</v>
      </c>
      <c r="D100" s="590"/>
      <c r="E100" s="590">
        <v>1.0341666734322146</v>
      </c>
      <c r="F100" s="590">
        <v>1.0480179725760268</v>
      </c>
      <c r="G100" s="590">
        <v>1.0601012155156095</v>
      </c>
      <c r="H100" s="590">
        <v>1.0702848288878077</v>
      </c>
      <c r="I100" s="590">
        <v>1.0797421461131422</v>
      </c>
      <c r="J100" s="591">
        <f t="shared" si="44"/>
        <v>1.5948429222628447E-2</v>
      </c>
      <c r="K100" s="592">
        <f t="shared" si="43"/>
        <v>1.5462782371323147E-2</v>
      </c>
      <c r="L100" s="593">
        <v>1.5462782371323147E-2</v>
      </c>
      <c r="M100" s="345"/>
      <c r="N100" s="345"/>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row>
    <row r="101" spans="1:44" x14ac:dyDescent="0.2">
      <c r="A101" s="287" t="s">
        <v>107</v>
      </c>
      <c r="B101" s="11">
        <v>11</v>
      </c>
      <c r="C101" s="523" t="s">
        <v>121</v>
      </c>
      <c r="D101" s="590"/>
      <c r="E101" s="590">
        <v>1.0233409873632719</v>
      </c>
      <c r="F101" s="590">
        <v>1.0360814373748364</v>
      </c>
      <c r="G101" s="590">
        <v>1.0482875093579402</v>
      </c>
      <c r="H101" s="590">
        <v>1.0593852390742311</v>
      </c>
      <c r="I101" s="590">
        <v>1.0701308790705675</v>
      </c>
      <c r="J101" s="591">
        <f t="shared" si="44"/>
        <v>1.4026175814113495E-2</v>
      </c>
      <c r="K101" s="592">
        <f t="shared" si="43"/>
        <v>1.364849335671825E-2</v>
      </c>
      <c r="L101" s="593">
        <v>1.364849335671825E-2</v>
      </c>
      <c r="M101" s="345"/>
      <c r="N101" s="345"/>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row>
    <row r="102" spans="1:44" x14ac:dyDescent="0.2">
      <c r="A102" s="287" t="s">
        <v>107</v>
      </c>
      <c r="B102" s="11">
        <v>12</v>
      </c>
      <c r="C102" s="523" t="s">
        <v>122</v>
      </c>
      <c r="D102" s="590"/>
      <c r="E102" s="590">
        <v>1.0334066911438702</v>
      </c>
      <c r="F102" s="590">
        <v>1.0470642108004322</v>
      </c>
      <c r="G102" s="590">
        <v>1.0589787988674986</v>
      </c>
      <c r="H102" s="590">
        <v>1.0690674958412283</v>
      </c>
      <c r="I102" s="590">
        <v>1.0784273350333435</v>
      </c>
      <c r="J102" s="591">
        <f t="shared" si="44"/>
        <v>1.5685467006668709E-2</v>
      </c>
      <c r="K102" s="592">
        <f t="shared" si="43"/>
        <v>1.5215354312122953E-2</v>
      </c>
      <c r="L102" s="593">
        <v>1.5215354312122953E-2</v>
      </c>
      <c r="M102" s="345"/>
      <c r="N102" s="345"/>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row>
    <row r="103" spans="1:44" x14ac:dyDescent="0.2">
      <c r="A103" s="287" t="s">
        <v>107</v>
      </c>
      <c r="B103" s="11">
        <v>13</v>
      </c>
      <c r="C103" s="523" t="s">
        <v>123</v>
      </c>
      <c r="D103" s="590"/>
      <c r="E103" s="590">
        <v>1.0535754755454367</v>
      </c>
      <c r="F103" s="590">
        <v>1.079128927735721</v>
      </c>
      <c r="G103" s="590">
        <v>1.10377830980113</v>
      </c>
      <c r="H103" s="590">
        <v>1.1267313398994689</v>
      </c>
      <c r="I103" s="590">
        <v>1.1493400902365778</v>
      </c>
      <c r="J103" s="591">
        <f t="shared" si="44"/>
        <v>2.9868018047315557E-2</v>
      </c>
      <c r="K103" s="592">
        <f t="shared" si="43"/>
        <v>2.8228674820024224E-2</v>
      </c>
      <c r="L103" s="593">
        <v>2.8228674820024224E-2</v>
      </c>
      <c r="M103" s="345"/>
      <c r="N103" s="345"/>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3"/>
    </row>
    <row r="104" spans="1:44" x14ac:dyDescent="0.2">
      <c r="A104" s="35"/>
      <c r="B104" s="201">
        <v>14</v>
      </c>
      <c r="C104" s="523" t="s">
        <v>124</v>
      </c>
      <c r="D104" s="590"/>
      <c r="E104" s="590">
        <v>1.0081055095898279</v>
      </c>
      <c r="F104" s="590">
        <v>1.0157451629461605</v>
      </c>
      <c r="G104" s="590">
        <v>1.0222827798035592</v>
      </c>
      <c r="H104" s="590">
        <v>1.0276922014787842</v>
      </c>
      <c r="I104" s="590">
        <v>1.032997413899986</v>
      </c>
      <c r="J104" s="591">
        <f t="shared" si="44"/>
        <v>6.5994827799972008E-3</v>
      </c>
      <c r="K104" s="592">
        <f t="shared" si="43"/>
        <v>6.5140621434043311E-3</v>
      </c>
      <c r="L104" s="593">
        <v>6.5140621434043311E-3</v>
      </c>
      <c r="M104" s="345"/>
      <c r="N104" s="345"/>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c r="AQ104" s="13"/>
      <c r="AR104" s="13"/>
    </row>
    <row r="105" spans="1:44" x14ac:dyDescent="0.2">
      <c r="B105" s="11">
        <v>15</v>
      </c>
      <c r="C105" s="523"/>
      <c r="D105" s="590"/>
      <c r="E105" s="590"/>
      <c r="F105" s="590"/>
      <c r="G105" s="590"/>
      <c r="H105" s="590"/>
      <c r="I105" s="590"/>
      <c r="J105" s="256" t="s">
        <v>125</v>
      </c>
      <c r="K105" s="6"/>
      <c r="L105" s="172" t="s">
        <v>126</v>
      </c>
      <c r="M105" s="172"/>
      <c r="N105" s="172"/>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c r="AQ105" s="13"/>
      <c r="AR105" s="13"/>
    </row>
    <row r="106" spans="1:44" x14ac:dyDescent="0.2">
      <c r="E106" s="15"/>
      <c r="L106" s="172" t="s">
        <v>127</v>
      </c>
      <c r="M106" s="172"/>
      <c r="N106" s="172"/>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c r="AO106" s="13"/>
      <c r="AP106" s="13"/>
      <c r="AQ106" s="13"/>
      <c r="AR106" s="13"/>
    </row>
    <row r="107" spans="1:44" x14ac:dyDescent="0.2">
      <c r="E107" s="15"/>
      <c r="L107" s="172" t="s">
        <v>128</v>
      </c>
      <c r="M107" s="172"/>
      <c r="N107" s="172"/>
      <c r="O107" s="13"/>
      <c r="P107" s="13"/>
      <c r="Q107" s="13"/>
      <c r="R107" s="13"/>
      <c r="S107" s="13"/>
      <c r="T107" s="255"/>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c r="AQ107" s="13"/>
      <c r="AR107" s="13"/>
    </row>
    <row r="108" spans="1:44" x14ac:dyDescent="0.2">
      <c r="C108" s="259" t="s">
        <v>129</v>
      </c>
      <c r="E108" s="15"/>
      <c r="L108" s="172" t="s">
        <v>130</v>
      </c>
      <c r="M108" s="172"/>
      <c r="N108" s="172"/>
      <c r="O108" s="13"/>
      <c r="P108" s="13"/>
      <c r="Q108" s="13"/>
      <c r="R108" s="13"/>
      <c r="S108" s="13"/>
      <c r="T108" s="255"/>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row>
    <row r="109" spans="1:44" x14ac:dyDescent="0.2">
      <c r="E109" s="15"/>
      <c r="L109" s="172" t="s">
        <v>131</v>
      </c>
      <c r="M109" s="172"/>
      <c r="N109" s="172"/>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row>
    <row r="110" spans="1:44" x14ac:dyDescent="0.2">
      <c r="E110" s="15"/>
      <c r="L110" s="172"/>
      <c r="M110" s="172"/>
      <c r="N110" s="172"/>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c r="AO110" s="13"/>
      <c r="AP110" s="13"/>
      <c r="AQ110" s="13"/>
      <c r="AR110" s="13"/>
    </row>
    <row r="111" spans="1:44" x14ac:dyDescent="0.2">
      <c r="C111" s="11"/>
      <c r="L111" s="172" t="s">
        <v>132</v>
      </c>
      <c r="M111" s="172"/>
      <c r="N111" s="172"/>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c r="AQ111" s="13"/>
      <c r="AR111" s="13"/>
    </row>
    <row r="112" spans="1:44" ht="15" x14ac:dyDescent="0.25">
      <c r="C112" s="11"/>
      <c r="L112" s="172" t="s">
        <v>133</v>
      </c>
      <c r="M112" s="172"/>
      <c r="N112" s="172"/>
      <c r="O112" s="13"/>
      <c r="P112" s="13"/>
      <c r="Q112" s="300"/>
      <c r="R112" s="301" t="s">
        <v>134</v>
      </c>
      <c r="S112" s="599"/>
      <c r="T112" s="13"/>
      <c r="U112" s="13"/>
      <c r="V112" s="13"/>
      <c r="W112" s="13"/>
      <c r="X112" s="13"/>
      <c r="Y112" s="13"/>
      <c r="Z112" s="13"/>
      <c r="AA112" s="13"/>
      <c r="AB112" s="13"/>
      <c r="AC112" s="13"/>
      <c r="AD112" s="13"/>
      <c r="AE112" s="13"/>
      <c r="AF112" s="13"/>
      <c r="AG112" s="13"/>
      <c r="AH112" s="13"/>
      <c r="AI112" s="13"/>
      <c r="AJ112" s="13"/>
      <c r="AK112" s="13"/>
      <c r="AL112" s="13"/>
      <c r="AM112" s="13"/>
      <c r="AN112" s="13"/>
      <c r="AO112" s="13"/>
      <c r="AP112" s="13"/>
      <c r="AQ112" s="13"/>
      <c r="AR112" s="13"/>
    </row>
    <row r="113" spans="1:44" ht="26.85" customHeight="1" x14ac:dyDescent="0.2">
      <c r="C113" s="11"/>
      <c r="O113" s="13"/>
      <c r="P113" s="13"/>
      <c r="Q113" s="600" t="s">
        <v>104</v>
      </c>
      <c r="R113" s="600" t="s">
        <v>105</v>
      </c>
      <c r="S113" s="601" t="s">
        <v>135</v>
      </c>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row>
    <row r="114" spans="1:44" x14ac:dyDescent="0.2">
      <c r="A114" s="585"/>
      <c r="B114" s="586"/>
      <c r="C114" s="523" t="s">
        <v>111</v>
      </c>
      <c r="D114" s="602"/>
      <c r="E114" s="590">
        <v>1.0090702843828887</v>
      </c>
      <c r="F114" s="590">
        <v>1.0170393771683619</v>
      </c>
      <c r="G114" s="590">
        <v>1.0238793000184203</v>
      </c>
      <c r="H114" s="590">
        <v>1.0295635385778663</v>
      </c>
      <c r="I114" s="590">
        <v>1.0351195322438309</v>
      </c>
      <c r="J114" s="590">
        <v>1.0405457031681826</v>
      </c>
      <c r="K114" s="590">
        <v>1.0458422140156769</v>
      </c>
      <c r="L114" s="590">
        <v>1.0510151972476083</v>
      </c>
      <c r="M114" s="590"/>
      <c r="N114" s="590"/>
      <c r="O114" s="590">
        <v>1.0560652872565244</v>
      </c>
      <c r="P114" s="590">
        <v>1.0609963391971375</v>
      </c>
      <c r="Q114" s="591">
        <f>(P114-100%)/10</f>
        <v>6.0996339197137541E-3</v>
      </c>
      <c r="R114" s="592">
        <f>(P114/100%)^(1/10)-1</f>
        <v>5.9384037531065026E-3</v>
      </c>
      <c r="S114" s="603">
        <v>5.9384037531065026E-3</v>
      </c>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c r="AR114" s="13"/>
    </row>
    <row r="115" spans="1:44" x14ac:dyDescent="0.2">
      <c r="A115" s="287" t="s">
        <v>136</v>
      </c>
      <c r="C115" s="523" t="s">
        <v>112</v>
      </c>
      <c r="D115" s="602"/>
      <c r="E115" s="590">
        <v>0.96173452499784384</v>
      </c>
      <c r="F115" s="590">
        <v>0.949547172001034</v>
      </c>
      <c r="G115" s="590">
        <v>0.93849673400054612</v>
      </c>
      <c r="H115" s="590">
        <v>0.92766778564091124</v>
      </c>
      <c r="I115" s="590">
        <v>0.91680012001884892</v>
      </c>
      <c r="J115" s="590">
        <v>0.92160605208729784</v>
      </c>
      <c r="K115" s="590">
        <v>0.92629714488325532</v>
      </c>
      <c r="L115" s="590">
        <v>0.93087882989658866</v>
      </c>
      <c r="M115" s="590"/>
      <c r="N115" s="590"/>
      <c r="O115" s="590">
        <v>0.93535166900555988</v>
      </c>
      <c r="P115" s="590">
        <v>0.93971907670114618</v>
      </c>
      <c r="Q115" s="591">
        <f t="shared" ref="Q115:Q127" si="45">(P115-100%)/10</f>
        <v>-6.0280923298853817E-3</v>
      </c>
      <c r="R115" s="592">
        <f t="shared" ref="R115:R127" si="46">(P115/100%)^(1/10)-1</f>
        <v>-6.1981420710855994E-3</v>
      </c>
      <c r="S115" s="603">
        <v>-6.1981420710855994E-3</v>
      </c>
      <c r="T115" s="13"/>
      <c r="U115" s="13"/>
      <c r="V115" s="13"/>
      <c r="W115" s="13"/>
      <c r="X115" s="13"/>
      <c r="Y115" s="13"/>
      <c r="Z115" s="13"/>
      <c r="AA115" s="13"/>
      <c r="AB115" s="13"/>
      <c r="AC115" s="13"/>
      <c r="AD115" s="13"/>
      <c r="AE115" s="13"/>
      <c r="AF115" s="13"/>
      <c r="AG115" s="13"/>
      <c r="AH115" s="13"/>
      <c r="AI115" s="13"/>
      <c r="AJ115" s="13"/>
      <c r="AK115" s="13"/>
      <c r="AL115" s="13"/>
      <c r="AM115" s="13"/>
      <c r="AN115" s="13"/>
      <c r="AO115" s="13"/>
      <c r="AP115" s="13"/>
      <c r="AQ115" s="13"/>
      <c r="AR115" s="13"/>
    </row>
    <row r="116" spans="1:44" x14ac:dyDescent="0.2">
      <c r="A116" s="287" t="s">
        <v>136</v>
      </c>
      <c r="C116" s="523" t="s">
        <v>113</v>
      </c>
      <c r="D116" s="602"/>
      <c r="E116" s="590">
        <v>1.0707061745580608</v>
      </c>
      <c r="F116" s="590">
        <v>1.0961797739954167</v>
      </c>
      <c r="G116" s="590">
        <v>1.1120352164720533</v>
      </c>
      <c r="H116" s="590">
        <v>1.1172916519636134</v>
      </c>
      <c r="I116" s="590">
        <v>1.1228072524832799</v>
      </c>
      <c r="J116" s="590">
        <v>1.1286930887343545</v>
      </c>
      <c r="K116" s="590">
        <v>1.1344382810596616</v>
      </c>
      <c r="L116" s="590">
        <v>1.140049481417553</v>
      </c>
      <c r="M116" s="590"/>
      <c r="N116" s="590"/>
      <c r="O116" s="590">
        <v>1.145527377941651</v>
      </c>
      <c r="P116" s="590">
        <v>1.1508761523670457</v>
      </c>
      <c r="Q116" s="591">
        <f t="shared" si="45"/>
        <v>1.5087615236704566E-2</v>
      </c>
      <c r="R116" s="592">
        <f t="shared" si="46"/>
        <v>1.4151550808456648E-2</v>
      </c>
      <c r="S116" s="603">
        <v>1.4151550808456648E-2</v>
      </c>
      <c r="T116" s="13"/>
      <c r="U116" s="13"/>
      <c r="V116" s="13"/>
      <c r="W116" s="13"/>
      <c r="X116" s="13"/>
      <c r="Y116" s="13"/>
      <c r="Z116" s="13"/>
      <c r="AA116" s="13"/>
      <c r="AB116" s="13"/>
      <c r="AC116" s="13"/>
      <c r="AD116" s="13"/>
      <c r="AE116" s="13"/>
      <c r="AF116" s="13"/>
      <c r="AG116" s="13"/>
      <c r="AH116" s="13"/>
      <c r="AI116" s="13"/>
      <c r="AJ116" s="13"/>
      <c r="AK116" s="13"/>
      <c r="AL116" s="13"/>
      <c r="AM116" s="13"/>
      <c r="AN116" s="13"/>
      <c r="AO116" s="13"/>
      <c r="AP116" s="13"/>
      <c r="AQ116" s="13"/>
      <c r="AR116" s="13"/>
    </row>
    <row r="117" spans="1:44" x14ac:dyDescent="0.2">
      <c r="A117" s="287" t="s">
        <v>136</v>
      </c>
      <c r="C117" s="523" t="s">
        <v>114</v>
      </c>
      <c r="D117" s="602"/>
      <c r="E117" s="590">
        <v>0.99704312080608826</v>
      </c>
      <c r="F117" s="590">
        <v>0.99705853203848904</v>
      </c>
      <c r="G117" s="590">
        <v>0.99472603914083957</v>
      </c>
      <c r="H117" s="590">
        <v>0.9891090180954597</v>
      </c>
      <c r="I117" s="590">
        <v>0.98354979851924307</v>
      </c>
      <c r="J117" s="590">
        <v>0.98870563719596893</v>
      </c>
      <c r="K117" s="590">
        <v>0.99373827547071536</v>
      </c>
      <c r="L117" s="590">
        <v>0.99865354028508957</v>
      </c>
      <c r="M117" s="590"/>
      <c r="N117" s="590"/>
      <c r="O117" s="590">
        <v>1.0034520344261542</v>
      </c>
      <c r="P117" s="590">
        <v>1.0081374209845206</v>
      </c>
      <c r="Q117" s="591">
        <f t="shared" si="45"/>
        <v>8.1374209845206378E-4</v>
      </c>
      <c r="R117" s="592">
        <f t="shared" si="46"/>
        <v>8.1077757246905691E-4</v>
      </c>
      <c r="S117" s="603">
        <v>8.1077757246905691E-4</v>
      </c>
      <c r="T117" s="13"/>
      <c r="U117" s="13"/>
      <c r="V117" s="13"/>
      <c r="W117" s="13"/>
      <c r="X117" s="13"/>
      <c r="Y117" s="13"/>
      <c r="Z117" s="13"/>
      <c r="AA117" s="13"/>
      <c r="AB117" s="13"/>
      <c r="AC117" s="13"/>
      <c r="AD117" s="13"/>
      <c r="AE117" s="13"/>
      <c r="AF117" s="13"/>
      <c r="AG117" s="13"/>
      <c r="AH117" s="13"/>
      <c r="AI117" s="13"/>
      <c r="AJ117" s="13"/>
      <c r="AK117" s="13"/>
      <c r="AL117" s="13"/>
      <c r="AM117" s="13"/>
      <c r="AN117" s="13"/>
      <c r="AO117" s="13"/>
      <c r="AP117" s="13"/>
      <c r="AQ117" s="13"/>
      <c r="AR117" s="13"/>
    </row>
    <row r="118" spans="1:44" x14ac:dyDescent="0.2">
      <c r="A118" s="287" t="s">
        <v>136</v>
      </c>
      <c r="C118" s="523" t="s">
        <v>115</v>
      </c>
      <c r="D118" s="602"/>
      <c r="E118" s="590">
        <v>0.99263087643060499</v>
      </c>
      <c r="F118" s="590">
        <v>0.99530151668079492</v>
      </c>
      <c r="G118" s="590">
        <v>0.99708461172748208</v>
      </c>
      <c r="H118" s="590">
        <v>0.99857946574262668</v>
      </c>
      <c r="I118" s="590">
        <v>1.0006058081967233</v>
      </c>
      <c r="J118" s="590">
        <v>1.0058510557010429</v>
      </c>
      <c r="K118" s="590">
        <v>1.0109709663510638</v>
      </c>
      <c r="L118" s="590">
        <v>1.0159714681350021</v>
      </c>
      <c r="M118" s="590"/>
      <c r="N118" s="590"/>
      <c r="O118" s="590">
        <v>1.0208531742930185</v>
      </c>
      <c r="P118" s="590">
        <v>1.0256198114383941</v>
      </c>
      <c r="Q118" s="591">
        <f t="shared" si="45"/>
        <v>2.5619811438394092E-3</v>
      </c>
      <c r="R118" s="592">
        <f t="shared" si="46"/>
        <v>2.5329148145079028E-3</v>
      </c>
      <c r="S118" s="603">
        <v>2.5329148145079028E-3</v>
      </c>
      <c r="T118" s="13"/>
      <c r="U118" s="13"/>
      <c r="V118" s="13"/>
      <c r="W118" s="13"/>
      <c r="X118" s="13"/>
      <c r="Y118" s="13"/>
      <c r="Z118" s="13"/>
      <c r="AA118" s="13"/>
      <c r="AB118" s="13"/>
      <c r="AC118" s="13"/>
      <c r="AD118" s="13"/>
      <c r="AE118" s="13"/>
      <c r="AF118" s="13"/>
      <c r="AG118" s="13"/>
      <c r="AH118" s="13"/>
      <c r="AI118" s="13"/>
      <c r="AJ118" s="13"/>
      <c r="AK118" s="13"/>
      <c r="AL118" s="13"/>
      <c r="AM118" s="13"/>
      <c r="AN118" s="13"/>
      <c r="AO118" s="13"/>
      <c r="AP118" s="13"/>
      <c r="AQ118" s="13"/>
      <c r="AR118" s="13"/>
    </row>
    <row r="119" spans="1:44" x14ac:dyDescent="0.2">
      <c r="A119" s="287" t="s">
        <v>136</v>
      </c>
      <c r="C119" s="594" t="s">
        <v>116</v>
      </c>
      <c r="D119" s="595"/>
      <c r="E119" s="595">
        <v>1.0123419501207302</v>
      </c>
      <c r="F119" s="595">
        <v>1.0224746276334522</v>
      </c>
      <c r="G119" s="595">
        <v>1.0318096590054313</v>
      </c>
      <c r="H119" s="595">
        <v>1.040568100689119</v>
      </c>
      <c r="I119" s="595">
        <v>1.0491476885800255</v>
      </c>
      <c r="J119" s="595">
        <v>1.0546473961073131</v>
      </c>
      <c r="K119" s="595">
        <v>1.0600156863772707</v>
      </c>
      <c r="L119" s="595">
        <v>1.0652587749595908</v>
      </c>
      <c r="M119" s="595"/>
      <c r="N119" s="595"/>
      <c r="O119" s="595">
        <v>1.0703773048442411</v>
      </c>
      <c r="P119" s="595">
        <v>1.0753751834317971</v>
      </c>
      <c r="Q119" s="596">
        <f t="shared" si="45"/>
        <v>7.5375183431797051E-3</v>
      </c>
      <c r="R119" s="597">
        <f t="shared" si="46"/>
        <v>7.2934292896156272E-3</v>
      </c>
      <c r="S119" s="597">
        <v>7.2934292896156272E-3</v>
      </c>
      <c r="T119" s="13"/>
      <c r="U119" s="13"/>
      <c r="V119" s="13"/>
      <c r="W119" s="13"/>
      <c r="X119" s="13"/>
      <c r="Y119" s="13"/>
      <c r="Z119" s="13"/>
      <c r="AA119" s="13"/>
      <c r="AB119" s="13"/>
      <c r="AC119" s="13"/>
      <c r="AD119" s="13"/>
      <c r="AE119" s="13"/>
      <c r="AF119" s="13"/>
      <c r="AG119" s="13"/>
      <c r="AH119" s="13"/>
      <c r="AI119" s="13"/>
      <c r="AJ119" s="13"/>
      <c r="AK119" s="13"/>
      <c r="AL119" s="13"/>
      <c r="AM119" s="13"/>
      <c r="AN119" s="13"/>
      <c r="AO119" s="13"/>
      <c r="AP119" s="13"/>
      <c r="AQ119" s="13"/>
      <c r="AR119" s="13"/>
    </row>
    <row r="120" spans="1:44" x14ac:dyDescent="0.2">
      <c r="A120" s="287" t="s">
        <v>136</v>
      </c>
      <c r="C120" s="523" t="s">
        <v>117</v>
      </c>
      <c r="D120" s="602"/>
      <c r="E120" s="590">
        <v>1.0234861902526262</v>
      </c>
      <c r="F120" s="590">
        <v>1.0362595252458171</v>
      </c>
      <c r="G120" s="590">
        <v>1.0484007089616401</v>
      </c>
      <c r="H120" s="590">
        <v>1.0594741481215733</v>
      </c>
      <c r="I120" s="590">
        <v>1.0705464348984648</v>
      </c>
      <c r="J120" s="590">
        <v>1.0761583161906882</v>
      </c>
      <c r="K120" s="590">
        <v>1.0816360997978576</v>
      </c>
      <c r="L120" s="590">
        <v>1.0869861280643798</v>
      </c>
      <c r="M120" s="590"/>
      <c r="N120" s="590"/>
      <c r="O120" s="590">
        <v>1.0922090570948486</v>
      </c>
      <c r="P120" s="590">
        <v>1.0973088739864103</v>
      </c>
      <c r="Q120" s="591">
        <f t="shared" si="45"/>
        <v>9.7308873986410305E-3</v>
      </c>
      <c r="R120" s="592">
        <f t="shared" si="46"/>
        <v>9.3293197294876951E-3</v>
      </c>
      <c r="S120" s="603">
        <v>9.3293197294876951E-3</v>
      </c>
      <c r="T120" s="13"/>
      <c r="U120" s="13"/>
      <c r="V120" s="13"/>
      <c r="W120" s="13"/>
      <c r="X120" s="13"/>
      <c r="Y120" s="13"/>
      <c r="Z120" s="13"/>
      <c r="AA120" s="13"/>
      <c r="AB120" s="13"/>
      <c r="AC120" s="13"/>
      <c r="AD120" s="13"/>
      <c r="AE120" s="13"/>
      <c r="AF120" s="13"/>
      <c r="AG120" s="13"/>
      <c r="AH120" s="13"/>
      <c r="AI120" s="13"/>
      <c r="AJ120" s="13"/>
      <c r="AK120" s="13"/>
      <c r="AL120" s="13"/>
      <c r="AM120" s="13"/>
      <c r="AN120" s="13"/>
      <c r="AO120" s="13"/>
      <c r="AP120" s="13"/>
      <c r="AQ120" s="13"/>
      <c r="AR120" s="13"/>
    </row>
    <row r="121" spans="1:44" x14ac:dyDescent="0.2">
      <c r="A121" s="287" t="s">
        <v>136</v>
      </c>
      <c r="C121" s="523" t="s">
        <v>118</v>
      </c>
      <c r="D121" s="602"/>
      <c r="E121" s="590">
        <v>1.0327181385810218</v>
      </c>
      <c r="F121" s="590">
        <v>1.0462000918268668</v>
      </c>
      <c r="G121" s="590">
        <v>1.0579618766687933</v>
      </c>
      <c r="H121" s="590">
        <v>1.0679645783102321</v>
      </c>
      <c r="I121" s="590">
        <v>1.0772361012999514</v>
      </c>
      <c r="J121" s="590">
        <v>1.0828830503038651</v>
      </c>
      <c r="K121" s="590">
        <v>1.0883950636686206</v>
      </c>
      <c r="L121" s="590">
        <v>1.0937785233708797</v>
      </c>
      <c r="M121" s="590"/>
      <c r="N121" s="590"/>
      <c r="O121" s="590">
        <v>1.0990340896151238</v>
      </c>
      <c r="P121" s="590">
        <v>1.1041657744132061</v>
      </c>
      <c r="Q121" s="591">
        <f t="shared" si="45"/>
        <v>1.0416577441320607E-2</v>
      </c>
      <c r="R121" s="592">
        <f t="shared" si="46"/>
        <v>9.95826625164975E-3</v>
      </c>
      <c r="S121" s="603">
        <v>9.95826625164975E-3</v>
      </c>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AQ121" s="13"/>
      <c r="AR121" s="13"/>
    </row>
    <row r="122" spans="1:44" x14ac:dyDescent="0.2">
      <c r="A122" s="287" t="s">
        <v>136</v>
      </c>
      <c r="C122" s="523" t="s">
        <v>119</v>
      </c>
      <c r="D122" s="602"/>
      <c r="E122" s="590">
        <v>1.0231841082591016</v>
      </c>
      <c r="F122" s="590">
        <v>1.0358890289056439</v>
      </c>
      <c r="G122" s="590">
        <v>1.0481652070229122</v>
      </c>
      <c r="H122" s="590">
        <v>1.0592891805745575</v>
      </c>
      <c r="I122" s="590">
        <v>1.069681907109314</v>
      </c>
      <c r="J122" s="590">
        <v>1.0752892564847816</v>
      </c>
      <c r="K122" s="590">
        <v>1.0807626164667843</v>
      </c>
      <c r="L122" s="590">
        <v>1.0861083242779219</v>
      </c>
      <c r="M122" s="590"/>
      <c r="N122" s="590"/>
      <c r="O122" s="590">
        <v>1.0913270354929456</v>
      </c>
      <c r="P122" s="590">
        <v>1.0964227339891921</v>
      </c>
      <c r="Q122" s="591">
        <f t="shared" si="45"/>
        <v>9.64227339891921E-3</v>
      </c>
      <c r="R122" s="592">
        <f t="shared" si="46"/>
        <v>9.2477809488915597E-3</v>
      </c>
      <c r="S122" s="603">
        <v>9.2477809488915597E-3</v>
      </c>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AQ122" s="13"/>
      <c r="AR122" s="13"/>
    </row>
    <row r="123" spans="1:44" x14ac:dyDescent="0.2">
      <c r="A123" s="287" t="s">
        <v>136</v>
      </c>
      <c r="C123" s="523" t="s">
        <v>120</v>
      </c>
      <c r="D123" s="602"/>
      <c r="E123" s="590">
        <v>1.0341666734322146</v>
      </c>
      <c r="F123" s="590">
        <v>1.0480179725760268</v>
      </c>
      <c r="G123" s="590">
        <v>1.0601012155156095</v>
      </c>
      <c r="H123" s="590">
        <v>1.0702848288878077</v>
      </c>
      <c r="I123" s="590">
        <v>1.0797421461131422</v>
      </c>
      <c r="J123" s="590">
        <v>1.0854022319839363</v>
      </c>
      <c r="K123" s="590">
        <v>1.0909270683059678</v>
      </c>
      <c r="L123" s="590">
        <v>1.0963230519027078</v>
      </c>
      <c r="M123" s="590"/>
      <c r="N123" s="590"/>
      <c r="O123" s="590">
        <v>1.1015908445145153</v>
      </c>
      <c r="P123" s="590">
        <v>1.1067344674866482</v>
      </c>
      <c r="Q123" s="591">
        <f t="shared" si="45"/>
        <v>1.0673446748664817E-2</v>
      </c>
      <c r="R123" s="592">
        <f t="shared" si="46"/>
        <v>1.0192973847719333E-2</v>
      </c>
      <c r="S123" s="603">
        <v>1.0192973847719333E-2</v>
      </c>
      <c r="T123" s="13"/>
      <c r="U123" s="13"/>
      <c r="V123" s="13"/>
      <c r="W123" s="13"/>
      <c r="X123" s="13"/>
      <c r="Y123" s="13"/>
      <c r="Z123" s="13"/>
      <c r="AA123" s="13"/>
      <c r="AB123" s="13"/>
      <c r="AC123" s="13"/>
      <c r="AD123" s="13"/>
      <c r="AE123" s="13"/>
      <c r="AF123" s="13"/>
      <c r="AG123" s="13"/>
      <c r="AH123" s="13"/>
      <c r="AI123" s="13"/>
      <c r="AJ123" s="13"/>
      <c r="AK123" s="13"/>
      <c r="AL123" s="13"/>
      <c r="AM123" s="13"/>
      <c r="AN123" s="13"/>
      <c r="AO123" s="13"/>
      <c r="AP123" s="13"/>
      <c r="AQ123" s="13"/>
      <c r="AR123" s="13"/>
    </row>
    <row r="124" spans="1:44" x14ac:dyDescent="0.2">
      <c r="A124" s="287" t="s">
        <v>136</v>
      </c>
      <c r="C124" s="523" t="s">
        <v>121</v>
      </c>
      <c r="D124" s="602"/>
      <c r="E124" s="590">
        <v>1.0233409873632719</v>
      </c>
      <c r="F124" s="590">
        <v>1.0360814373748364</v>
      </c>
      <c r="G124" s="590">
        <v>1.0482875093579402</v>
      </c>
      <c r="H124" s="590">
        <v>1.0593852390742311</v>
      </c>
      <c r="I124" s="590">
        <v>1.0701308790705675</v>
      </c>
      <c r="J124" s="590">
        <v>1.0757405819892984</v>
      </c>
      <c r="K124" s="590">
        <v>1.0812162392759013</v>
      </c>
      <c r="L124" s="590">
        <v>1.0865641908128645</v>
      </c>
      <c r="M124" s="590"/>
      <c r="N124" s="590"/>
      <c r="O124" s="590">
        <v>1.0917850924501005</v>
      </c>
      <c r="P124" s="590">
        <v>1.0968829297370777</v>
      </c>
      <c r="Q124" s="591">
        <f t="shared" si="45"/>
        <v>9.6882929737077683E-3</v>
      </c>
      <c r="R124" s="592">
        <f t="shared" si="46"/>
        <v>9.2901335764377091E-3</v>
      </c>
      <c r="S124" s="603">
        <v>9.2901335764377091E-3</v>
      </c>
      <c r="T124" s="13"/>
      <c r="U124" s="13"/>
      <c r="V124" s="13"/>
      <c r="W124" s="13"/>
      <c r="X124" s="13"/>
      <c r="Y124" s="13"/>
      <c r="Z124" s="13"/>
      <c r="AA124" s="13"/>
      <c r="AB124" s="13"/>
      <c r="AC124" s="13"/>
      <c r="AD124" s="13"/>
      <c r="AE124" s="13"/>
      <c r="AF124" s="13"/>
      <c r="AG124" s="13"/>
      <c r="AH124" s="13"/>
      <c r="AI124" s="13"/>
      <c r="AJ124" s="13"/>
      <c r="AK124" s="13"/>
      <c r="AL124" s="13"/>
      <c r="AM124" s="13"/>
      <c r="AN124" s="13"/>
      <c r="AO124" s="13"/>
      <c r="AP124" s="13"/>
      <c r="AQ124" s="13"/>
      <c r="AR124" s="13"/>
    </row>
    <row r="125" spans="1:44" x14ac:dyDescent="0.2">
      <c r="A125" s="287" t="s">
        <v>136</v>
      </c>
      <c r="C125" s="523" t="s">
        <v>122</v>
      </c>
      <c r="D125" s="602"/>
      <c r="E125" s="590">
        <v>1.0334066911438702</v>
      </c>
      <c r="F125" s="590">
        <v>1.0470642108004322</v>
      </c>
      <c r="G125" s="590">
        <v>1.0589787988674986</v>
      </c>
      <c r="H125" s="590">
        <v>1.0690674958412283</v>
      </c>
      <c r="I125" s="590">
        <v>1.0784273350333435</v>
      </c>
      <c r="J125" s="590">
        <v>1.0840805285700352</v>
      </c>
      <c r="K125" s="590">
        <v>1.0895986372524757</v>
      </c>
      <c r="L125" s="590">
        <v>1.0949880501146705</v>
      </c>
      <c r="M125" s="590"/>
      <c r="N125" s="590"/>
      <c r="O125" s="590">
        <v>1.1002494280911717</v>
      </c>
      <c r="P125" s="590">
        <v>1.1053867876304115</v>
      </c>
      <c r="Q125" s="591">
        <f t="shared" si="45"/>
        <v>1.0538678763041154E-2</v>
      </c>
      <c r="R125" s="592">
        <f t="shared" si="46"/>
        <v>1.0069894342066732E-2</v>
      </c>
      <c r="S125" s="603">
        <v>1.0069894342066732E-2</v>
      </c>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row>
    <row r="126" spans="1:44" x14ac:dyDescent="0.2">
      <c r="A126" s="287" t="s">
        <v>136</v>
      </c>
      <c r="C126" s="523" t="s">
        <v>123</v>
      </c>
      <c r="D126" s="602"/>
      <c r="E126" s="590">
        <v>1.0535754755454367</v>
      </c>
      <c r="F126" s="590">
        <v>1.079128927735721</v>
      </c>
      <c r="G126" s="590">
        <v>1.10377830980113</v>
      </c>
      <c r="H126" s="590">
        <v>1.1267313398994689</v>
      </c>
      <c r="I126" s="590">
        <v>1.1493400902365778</v>
      </c>
      <c r="J126" s="590">
        <v>1.1553650135285909</v>
      </c>
      <c r="K126" s="590">
        <v>1.1612459693658381</v>
      </c>
      <c r="L126" s="590">
        <v>1.1669897668977929</v>
      </c>
      <c r="M126" s="590"/>
      <c r="N126" s="590"/>
      <c r="O126" s="590">
        <v>1.1725971105192283</v>
      </c>
      <c r="P126" s="590">
        <v>1.1780722807829951</v>
      </c>
      <c r="Q126" s="591">
        <f t="shared" si="45"/>
        <v>1.7807228078299507E-2</v>
      </c>
      <c r="R126" s="592">
        <f t="shared" si="46"/>
        <v>1.6522963134986579E-2</v>
      </c>
      <c r="S126" s="603">
        <v>1.6522963134986579E-2</v>
      </c>
      <c r="T126" s="13"/>
      <c r="U126" s="13"/>
      <c r="V126" s="13"/>
      <c r="W126" s="13"/>
      <c r="X126" s="13"/>
      <c r="Y126" s="13"/>
      <c r="Z126" s="13"/>
      <c r="AA126" s="13"/>
      <c r="AB126" s="13"/>
      <c r="AC126" s="13"/>
      <c r="AD126" s="13"/>
      <c r="AE126" s="13"/>
      <c r="AF126" s="13"/>
      <c r="AG126" s="13"/>
      <c r="AH126" s="13"/>
      <c r="AI126" s="13"/>
      <c r="AJ126" s="13"/>
      <c r="AK126" s="13"/>
      <c r="AL126" s="13"/>
      <c r="AM126" s="13"/>
      <c r="AN126" s="13"/>
      <c r="AO126" s="13"/>
      <c r="AP126" s="13"/>
      <c r="AQ126" s="13"/>
      <c r="AR126" s="13"/>
    </row>
    <row r="127" spans="1:44" x14ac:dyDescent="0.2">
      <c r="A127" s="35"/>
      <c r="B127" s="201"/>
      <c r="C127" s="523" t="s">
        <v>124</v>
      </c>
      <c r="D127" s="602"/>
      <c r="E127" s="590">
        <v>1.0081055095898279</v>
      </c>
      <c r="F127" s="590">
        <v>1.0157451629461605</v>
      </c>
      <c r="G127" s="590">
        <v>1.0222827798035592</v>
      </c>
      <c r="H127" s="590">
        <v>1.0276922014787842</v>
      </c>
      <c r="I127" s="590">
        <v>1.032997413899986</v>
      </c>
      <c r="J127" s="590">
        <v>1.0384124605275808</v>
      </c>
      <c r="K127" s="590">
        <v>1.0436981128969209</v>
      </c>
      <c r="L127" s="590">
        <v>1.0488604908970247</v>
      </c>
      <c r="M127" s="590"/>
      <c r="N127" s="590"/>
      <c r="O127" s="590">
        <v>1.053900227619859</v>
      </c>
      <c r="P127" s="590">
        <v>1.0588211703166104</v>
      </c>
      <c r="Q127" s="591">
        <f t="shared" si="45"/>
        <v>5.8821170316610384E-3</v>
      </c>
      <c r="R127" s="592">
        <f t="shared" si="46"/>
        <v>5.7319838926312983E-3</v>
      </c>
      <c r="S127" s="603">
        <v>5.7319838926312983E-3</v>
      </c>
      <c r="T127" s="13"/>
      <c r="U127" s="13"/>
      <c r="V127" s="13"/>
      <c r="W127" s="13"/>
      <c r="X127" s="13"/>
      <c r="Y127" s="13"/>
      <c r="Z127" s="13"/>
      <c r="AA127" s="13"/>
      <c r="AB127" s="13"/>
      <c r="AC127" s="13"/>
      <c r="AD127" s="13"/>
      <c r="AE127" s="13"/>
      <c r="AF127" s="13"/>
      <c r="AG127" s="13"/>
      <c r="AH127" s="13"/>
      <c r="AI127" s="13"/>
      <c r="AJ127" s="13"/>
      <c r="AK127" s="13"/>
      <c r="AL127" s="13"/>
      <c r="AM127" s="13"/>
      <c r="AN127" s="13"/>
      <c r="AO127" s="13"/>
      <c r="AP127" s="13"/>
      <c r="AQ127" s="13"/>
      <c r="AR127" s="13"/>
    </row>
    <row r="128" spans="1:44" x14ac:dyDescent="0.2">
      <c r="C128" s="11"/>
      <c r="E128" s="15"/>
      <c r="O128" s="13"/>
      <c r="P128" s="13"/>
      <c r="Q128" s="256" t="s">
        <v>125</v>
      </c>
      <c r="R128" s="256" t="s">
        <v>125</v>
      </c>
      <c r="S128" s="302"/>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row>
    <row r="129" spans="3:44" x14ac:dyDescent="0.2">
      <c r="C129" s="11"/>
      <c r="E129" s="15"/>
      <c r="O129" s="13"/>
      <c r="P129" s="13"/>
      <c r="Q129" s="256" t="s">
        <v>137</v>
      </c>
      <c r="R129" s="256" t="s">
        <v>137</v>
      </c>
      <c r="S129" s="302"/>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row>
    <row r="130" spans="3:44" x14ac:dyDescent="0.2">
      <c r="C130" s="11"/>
      <c r="E130" s="15"/>
      <c r="O130" s="13"/>
      <c r="P130" s="13"/>
      <c r="Q130" s="13"/>
      <c r="R130" s="13"/>
      <c r="S130" s="302" t="s">
        <v>132</v>
      </c>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row>
    <row r="131" spans="3:44" x14ac:dyDescent="0.2">
      <c r="E131" s="15"/>
      <c r="O131" s="13"/>
      <c r="P131" s="13"/>
      <c r="Q131" s="13"/>
      <c r="R131" s="13"/>
      <c r="S131" s="302" t="s">
        <v>133</v>
      </c>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row>
    <row r="132" spans="3:44" x14ac:dyDescent="0.2">
      <c r="E132" s="15"/>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c r="AO132" s="13"/>
      <c r="AP132" s="13"/>
      <c r="AQ132" s="13"/>
      <c r="AR132" s="13"/>
    </row>
    <row r="133" spans="3:44" x14ac:dyDescent="0.2">
      <c r="E133" s="15"/>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c r="AO133" s="13"/>
      <c r="AP133" s="13"/>
      <c r="AQ133" s="13"/>
      <c r="AR133" s="13"/>
    </row>
    <row r="134" spans="3:44" x14ac:dyDescent="0.2">
      <c r="E134" s="15"/>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O134" s="13"/>
      <c r="AP134" s="13"/>
      <c r="AQ134" s="13"/>
      <c r="AR134" s="13"/>
    </row>
    <row r="135" spans="3:44" x14ac:dyDescent="0.2">
      <c r="E135" s="15"/>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c r="AO135" s="13"/>
      <c r="AP135" s="13"/>
      <c r="AQ135" s="13"/>
      <c r="AR135" s="13"/>
    </row>
    <row r="136" spans="3:44" x14ac:dyDescent="0.2">
      <c r="E136" s="15"/>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c r="AQ136" s="13"/>
      <c r="AR136" s="13"/>
    </row>
    <row r="137" spans="3:44" x14ac:dyDescent="0.2">
      <c r="E137" s="15"/>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c r="AO137" s="13"/>
      <c r="AP137" s="13"/>
      <c r="AQ137" s="13"/>
      <c r="AR137" s="13"/>
    </row>
    <row r="138" spans="3:44" x14ac:dyDescent="0.2">
      <c r="E138" s="15"/>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13"/>
      <c r="AR138" s="13"/>
    </row>
    <row r="139" spans="3:44" x14ac:dyDescent="0.2">
      <c r="E139" s="15"/>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c r="AO139" s="13"/>
      <c r="AP139" s="13"/>
      <c r="AQ139" s="13"/>
      <c r="AR139" s="13"/>
    </row>
    <row r="140" spans="3:44" x14ac:dyDescent="0.2">
      <c r="E140" s="15"/>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c r="AO140" s="13"/>
      <c r="AP140" s="13"/>
      <c r="AQ140" s="13"/>
      <c r="AR140" s="13"/>
    </row>
    <row r="141" spans="3:44" x14ac:dyDescent="0.2">
      <c r="E141" s="15"/>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AQ141" s="13"/>
      <c r="AR141" s="13"/>
    </row>
    <row r="142" spans="3:44" x14ac:dyDescent="0.2">
      <c r="E142" s="15"/>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AQ142" s="13"/>
      <c r="AR142" s="13"/>
    </row>
    <row r="143" spans="3:44" x14ac:dyDescent="0.2">
      <c r="E143" s="15"/>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row>
    <row r="144" spans="3:44" x14ac:dyDescent="0.2">
      <c r="E144" s="15"/>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row>
    <row r="145" spans="5:44" x14ac:dyDescent="0.2">
      <c r="E145" s="15"/>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c r="AO145" s="13"/>
      <c r="AP145" s="13"/>
      <c r="AQ145" s="13"/>
      <c r="AR145" s="13"/>
    </row>
    <row r="146" spans="5:44" x14ac:dyDescent="0.2">
      <c r="E146" s="15"/>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c r="AO146" s="13"/>
      <c r="AP146" s="13"/>
      <c r="AQ146" s="13"/>
      <c r="AR146" s="13"/>
    </row>
    <row r="147" spans="5:44" x14ac:dyDescent="0.2">
      <c r="E147" s="15"/>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c r="AO147" s="13"/>
      <c r="AP147" s="13"/>
      <c r="AQ147" s="13"/>
      <c r="AR147" s="13"/>
    </row>
    <row r="148" spans="5:44" x14ac:dyDescent="0.2">
      <c r="E148" s="15"/>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c r="AO148" s="13"/>
      <c r="AP148" s="13"/>
      <c r="AQ148" s="13"/>
      <c r="AR148" s="13"/>
    </row>
    <row r="149" spans="5:44" x14ac:dyDescent="0.2">
      <c r="E149" s="15"/>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c r="AO149" s="13"/>
      <c r="AP149" s="13"/>
      <c r="AQ149" s="13"/>
      <c r="AR149" s="13"/>
    </row>
    <row r="150" spans="5:44" x14ac:dyDescent="0.2">
      <c r="E150" s="15"/>
      <c r="O150" s="13"/>
      <c r="P150" s="13"/>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13"/>
      <c r="AO150" s="13"/>
      <c r="AP150" s="13"/>
      <c r="AQ150" s="13"/>
      <c r="AR150" s="13"/>
    </row>
    <row r="151" spans="5:44" x14ac:dyDescent="0.2">
      <c r="E151" s="15"/>
      <c r="O151" s="13"/>
      <c r="P151" s="13"/>
      <c r="Q151" s="13"/>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13"/>
      <c r="AO151" s="13"/>
      <c r="AP151" s="13"/>
      <c r="AQ151" s="13"/>
      <c r="AR151" s="13"/>
    </row>
    <row r="152" spans="5:44" x14ac:dyDescent="0.2">
      <c r="E152" s="15"/>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c r="AO152" s="13"/>
      <c r="AP152" s="13"/>
      <c r="AQ152" s="13"/>
      <c r="AR152" s="13"/>
    </row>
    <row r="153" spans="5:44" x14ac:dyDescent="0.2">
      <c r="E153" s="15"/>
      <c r="O153" s="13"/>
      <c r="P153" s="13"/>
      <c r="Q153" s="13"/>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13"/>
      <c r="AO153" s="13"/>
      <c r="AP153" s="13"/>
      <c r="AQ153" s="13"/>
      <c r="AR153" s="13"/>
    </row>
    <row r="154" spans="5:44" x14ac:dyDescent="0.2">
      <c r="E154" s="15"/>
      <c r="O154" s="13"/>
      <c r="P154" s="13"/>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c r="AO154" s="13"/>
      <c r="AP154" s="13"/>
      <c r="AQ154" s="13"/>
      <c r="AR154" s="13"/>
    </row>
    <row r="155" spans="5:44" x14ac:dyDescent="0.2">
      <c r="E155" s="15"/>
      <c r="O155" s="13"/>
      <c r="P155" s="13"/>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13"/>
      <c r="AO155" s="13"/>
      <c r="AP155" s="13"/>
      <c r="AQ155" s="13"/>
      <c r="AR155" s="13"/>
    </row>
    <row r="156" spans="5:44" x14ac:dyDescent="0.2">
      <c r="E156" s="15"/>
      <c r="O156" s="13"/>
      <c r="P156" s="13"/>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13"/>
      <c r="AO156" s="13"/>
      <c r="AP156" s="13"/>
      <c r="AQ156" s="13"/>
      <c r="AR156" s="13"/>
    </row>
    <row r="157" spans="5:44" x14ac:dyDescent="0.2">
      <c r="E157" s="15"/>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13"/>
      <c r="AO157" s="13"/>
      <c r="AP157" s="13"/>
      <c r="AQ157" s="13"/>
      <c r="AR157" s="13"/>
    </row>
    <row r="158" spans="5:44" x14ac:dyDescent="0.2">
      <c r="E158" s="15"/>
      <c r="O158" s="13"/>
      <c r="P158" s="13"/>
      <c r="Q158" s="13"/>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c r="AO158" s="13"/>
      <c r="AP158" s="13"/>
      <c r="AQ158" s="13"/>
      <c r="AR158" s="13"/>
    </row>
    <row r="159" spans="5:44" x14ac:dyDescent="0.2">
      <c r="E159" s="15"/>
      <c r="O159" s="13"/>
      <c r="P159" s="13"/>
      <c r="Q159" s="13"/>
      <c r="R159" s="13"/>
      <c r="S159" s="13"/>
      <c r="T159" s="13"/>
      <c r="U159" s="13"/>
      <c r="V159" s="13"/>
      <c r="W159" s="13"/>
      <c r="X159" s="13"/>
      <c r="Y159" s="13"/>
      <c r="Z159" s="13"/>
      <c r="AA159" s="13"/>
      <c r="AB159" s="13"/>
      <c r="AC159" s="13"/>
      <c r="AD159" s="13"/>
      <c r="AE159" s="13"/>
      <c r="AF159" s="13"/>
      <c r="AG159" s="13"/>
      <c r="AH159" s="13"/>
      <c r="AI159" s="13"/>
      <c r="AJ159" s="13"/>
      <c r="AK159" s="13"/>
      <c r="AL159" s="13"/>
      <c r="AM159" s="13"/>
      <c r="AN159" s="13"/>
      <c r="AO159" s="13"/>
      <c r="AP159" s="13"/>
      <c r="AQ159" s="13"/>
      <c r="AR159" s="13"/>
    </row>
    <row r="160" spans="5:44" x14ac:dyDescent="0.2">
      <c r="E160" s="15"/>
      <c r="O160" s="13"/>
      <c r="P160" s="13"/>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13"/>
      <c r="AO160" s="13"/>
      <c r="AP160" s="13"/>
      <c r="AQ160" s="13"/>
      <c r="AR160" s="13"/>
    </row>
    <row r="161" spans="5:44" x14ac:dyDescent="0.2">
      <c r="E161" s="15"/>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c r="AO161" s="13"/>
      <c r="AP161" s="13"/>
      <c r="AQ161" s="13"/>
      <c r="AR161" s="13"/>
    </row>
    <row r="162" spans="5:44" x14ac:dyDescent="0.2">
      <c r="E162" s="15"/>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c r="AO162" s="13"/>
      <c r="AP162" s="13"/>
      <c r="AQ162" s="13"/>
      <c r="AR162" s="13"/>
    </row>
    <row r="163" spans="5:44" x14ac:dyDescent="0.2">
      <c r="E163" s="15"/>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c r="AO163" s="13"/>
      <c r="AP163" s="13"/>
      <c r="AQ163" s="13"/>
      <c r="AR163" s="13"/>
    </row>
    <row r="164" spans="5:44" x14ac:dyDescent="0.2">
      <c r="E164" s="15"/>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c r="AO164" s="13"/>
      <c r="AP164" s="13"/>
      <c r="AQ164" s="13"/>
      <c r="AR164" s="13"/>
    </row>
    <row r="165" spans="5:44" x14ac:dyDescent="0.2">
      <c r="E165" s="15"/>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3"/>
      <c r="AL165" s="13"/>
      <c r="AM165" s="13"/>
      <c r="AN165" s="13"/>
      <c r="AO165" s="13"/>
      <c r="AP165" s="13"/>
      <c r="AQ165" s="13"/>
      <c r="AR165" s="13"/>
    </row>
    <row r="166" spans="5:44" x14ac:dyDescent="0.2">
      <c r="E166" s="15"/>
      <c r="O166" s="13"/>
      <c r="P166" s="13"/>
      <c r="Q166" s="13"/>
      <c r="R166" s="13"/>
      <c r="S166" s="13"/>
      <c r="T166" s="13"/>
      <c r="U166" s="13"/>
      <c r="V166" s="13"/>
      <c r="W166" s="13"/>
      <c r="X166" s="13"/>
      <c r="Y166" s="13"/>
      <c r="Z166" s="13"/>
      <c r="AA166" s="13"/>
      <c r="AB166" s="13"/>
      <c r="AC166" s="13"/>
      <c r="AD166" s="13"/>
      <c r="AE166" s="13"/>
      <c r="AF166" s="13"/>
      <c r="AG166" s="13"/>
      <c r="AH166" s="13"/>
      <c r="AI166" s="13"/>
      <c r="AJ166" s="13"/>
      <c r="AK166" s="13"/>
      <c r="AL166" s="13"/>
      <c r="AM166" s="13"/>
      <c r="AN166" s="13"/>
      <c r="AO166" s="13"/>
      <c r="AP166" s="13"/>
      <c r="AQ166" s="13"/>
      <c r="AR166" s="13"/>
    </row>
    <row r="167" spans="5:44" x14ac:dyDescent="0.2">
      <c r="E167" s="15"/>
      <c r="O167" s="13"/>
      <c r="P167" s="13"/>
      <c r="Q167" s="13"/>
      <c r="R167" s="13"/>
      <c r="S167" s="13"/>
      <c r="T167" s="13"/>
      <c r="U167" s="13"/>
      <c r="V167" s="13"/>
      <c r="W167" s="13"/>
      <c r="X167" s="13"/>
      <c r="Y167" s="13"/>
      <c r="Z167" s="13"/>
      <c r="AA167" s="13"/>
      <c r="AB167" s="13"/>
      <c r="AC167" s="13"/>
      <c r="AD167" s="13"/>
      <c r="AE167" s="13"/>
      <c r="AF167" s="13"/>
      <c r="AG167" s="13"/>
      <c r="AH167" s="13"/>
      <c r="AI167" s="13"/>
      <c r="AJ167" s="13"/>
      <c r="AK167" s="13"/>
      <c r="AL167" s="13"/>
      <c r="AM167" s="13"/>
      <c r="AN167" s="13"/>
      <c r="AO167" s="13"/>
      <c r="AP167" s="13"/>
      <c r="AQ167" s="13"/>
      <c r="AR167" s="13"/>
    </row>
    <row r="168" spans="5:44" x14ac:dyDescent="0.2">
      <c r="E168" s="15"/>
      <c r="O168" s="13"/>
      <c r="P168" s="13"/>
      <c r="Q168" s="13"/>
      <c r="R168" s="13"/>
      <c r="S168" s="13"/>
      <c r="T168" s="13"/>
      <c r="U168" s="13"/>
      <c r="V168" s="13"/>
      <c r="W168" s="13"/>
      <c r="X168" s="13"/>
      <c r="Y168" s="13"/>
      <c r="Z168" s="13"/>
      <c r="AA168" s="13"/>
      <c r="AB168" s="13"/>
      <c r="AC168" s="13"/>
      <c r="AD168" s="13"/>
      <c r="AE168" s="13"/>
      <c r="AF168" s="13"/>
      <c r="AG168" s="13"/>
      <c r="AH168" s="13"/>
      <c r="AI168" s="13"/>
      <c r="AJ168" s="13"/>
      <c r="AK168" s="13"/>
      <c r="AL168" s="13"/>
      <c r="AM168" s="13"/>
      <c r="AN168" s="13"/>
      <c r="AO168" s="13"/>
      <c r="AP168" s="13"/>
      <c r="AQ168" s="13"/>
      <c r="AR168" s="13"/>
    </row>
    <row r="169" spans="5:44" x14ac:dyDescent="0.2">
      <c r="E169" s="15"/>
      <c r="O169" s="13"/>
      <c r="P169" s="13"/>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c r="AN169" s="13"/>
      <c r="AO169" s="13"/>
      <c r="AP169" s="13"/>
      <c r="AQ169" s="13"/>
      <c r="AR169" s="13"/>
    </row>
    <row r="170" spans="5:44" x14ac:dyDescent="0.2">
      <c r="E170" s="15"/>
      <c r="O170" s="13"/>
      <c r="P170" s="13"/>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M170" s="13"/>
      <c r="AN170" s="13"/>
      <c r="AO170" s="13"/>
      <c r="AP170" s="13"/>
      <c r="AQ170" s="13"/>
      <c r="AR170" s="13"/>
    </row>
    <row r="171" spans="5:44" x14ac:dyDescent="0.2">
      <c r="E171" s="15"/>
      <c r="O171" s="13"/>
      <c r="P171" s="13"/>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M171" s="13"/>
      <c r="AN171" s="13"/>
      <c r="AO171" s="13"/>
      <c r="AP171" s="13"/>
      <c r="AQ171" s="13"/>
      <c r="AR171" s="13"/>
    </row>
    <row r="172" spans="5:44" x14ac:dyDescent="0.2">
      <c r="E172" s="15"/>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13"/>
      <c r="AO172" s="13"/>
      <c r="AP172" s="13"/>
      <c r="AQ172" s="13"/>
      <c r="AR172" s="13"/>
    </row>
    <row r="173" spans="5:44" x14ac:dyDescent="0.2">
      <c r="E173" s="15"/>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M173" s="13"/>
      <c r="AN173" s="13"/>
      <c r="AO173" s="13"/>
      <c r="AP173" s="13"/>
      <c r="AQ173" s="13"/>
      <c r="AR173" s="13"/>
    </row>
    <row r="174" spans="5:44" x14ac:dyDescent="0.2">
      <c r="E174" s="15"/>
      <c r="O174" s="13"/>
      <c r="P174" s="13"/>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M174" s="13"/>
      <c r="AN174" s="13"/>
      <c r="AO174" s="13"/>
      <c r="AP174" s="13"/>
      <c r="AQ174" s="13"/>
      <c r="AR174" s="13"/>
    </row>
    <row r="175" spans="5:44" x14ac:dyDescent="0.2">
      <c r="E175" s="15"/>
      <c r="O175" s="13"/>
      <c r="P175" s="13"/>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M175" s="13"/>
      <c r="AN175" s="13"/>
      <c r="AO175" s="13"/>
      <c r="AP175" s="13"/>
      <c r="AQ175" s="13"/>
      <c r="AR175" s="13"/>
    </row>
    <row r="176" spans="5:44" x14ac:dyDescent="0.2">
      <c r="E176" s="15"/>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M176" s="13"/>
      <c r="AN176" s="13"/>
      <c r="AO176" s="13"/>
      <c r="AP176" s="13"/>
      <c r="AQ176" s="13"/>
      <c r="AR176" s="13"/>
    </row>
    <row r="177" spans="5:44" x14ac:dyDescent="0.2">
      <c r="E177" s="15"/>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M177" s="13"/>
      <c r="AN177" s="13"/>
      <c r="AO177" s="13"/>
      <c r="AP177" s="13"/>
      <c r="AQ177" s="13"/>
      <c r="AR177" s="13"/>
    </row>
    <row r="178" spans="5:44" x14ac:dyDescent="0.2">
      <c r="E178" s="15"/>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13"/>
      <c r="AO178" s="13"/>
      <c r="AP178" s="13"/>
      <c r="AQ178" s="13"/>
      <c r="AR178" s="13"/>
    </row>
    <row r="179" spans="5:44" x14ac:dyDescent="0.2">
      <c r="E179" s="15"/>
      <c r="O179" s="13"/>
      <c r="P179" s="13"/>
      <c r="Q179" s="13"/>
      <c r="R179" s="13"/>
      <c r="S179" s="13"/>
      <c r="T179" s="13"/>
      <c r="U179" s="13"/>
      <c r="V179" s="13"/>
      <c r="W179" s="13"/>
      <c r="X179" s="13"/>
      <c r="Y179" s="13"/>
      <c r="Z179" s="13"/>
      <c r="AA179" s="13"/>
      <c r="AB179" s="13"/>
      <c r="AC179" s="13"/>
      <c r="AD179" s="13"/>
      <c r="AE179" s="13"/>
      <c r="AF179" s="13"/>
      <c r="AG179" s="13"/>
      <c r="AH179" s="13"/>
      <c r="AI179" s="13"/>
      <c r="AJ179" s="13"/>
      <c r="AK179" s="13"/>
      <c r="AL179" s="13"/>
      <c r="AM179" s="13"/>
      <c r="AN179" s="13"/>
      <c r="AO179" s="13"/>
      <c r="AP179" s="13"/>
      <c r="AQ179" s="13"/>
      <c r="AR179" s="13"/>
    </row>
    <row r="180" spans="5:44" x14ac:dyDescent="0.2">
      <c r="E180" s="15"/>
      <c r="O180" s="13"/>
      <c r="P180" s="13"/>
      <c r="Q180" s="13"/>
      <c r="R180" s="13"/>
      <c r="S180" s="13"/>
      <c r="T180" s="13"/>
      <c r="U180" s="13"/>
      <c r="V180" s="13"/>
      <c r="W180" s="13"/>
      <c r="X180" s="13"/>
      <c r="Y180" s="13"/>
      <c r="Z180" s="13"/>
      <c r="AA180" s="13"/>
      <c r="AB180" s="13"/>
      <c r="AC180" s="13"/>
      <c r="AD180" s="13"/>
      <c r="AE180" s="13"/>
      <c r="AF180" s="13"/>
      <c r="AG180" s="13"/>
      <c r="AH180" s="13"/>
      <c r="AI180" s="13"/>
      <c r="AJ180" s="13"/>
      <c r="AK180" s="13"/>
      <c r="AL180" s="13"/>
      <c r="AM180" s="13"/>
      <c r="AN180" s="13"/>
      <c r="AO180" s="13"/>
      <c r="AP180" s="13"/>
      <c r="AQ180" s="13"/>
      <c r="AR180" s="13"/>
    </row>
    <row r="181" spans="5:44" x14ac:dyDescent="0.2">
      <c r="E181" s="15"/>
      <c r="O181" s="13"/>
      <c r="P181" s="13"/>
      <c r="Q181" s="13"/>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13"/>
      <c r="AO181" s="13"/>
      <c r="AP181" s="13"/>
      <c r="AQ181" s="13"/>
      <c r="AR181" s="13"/>
    </row>
    <row r="182" spans="5:44" x14ac:dyDescent="0.2">
      <c r="E182" s="15"/>
      <c r="O182" s="13"/>
      <c r="P182" s="13"/>
      <c r="Q182" s="13"/>
      <c r="R182" s="13"/>
      <c r="S182" s="13"/>
      <c r="T182" s="13"/>
      <c r="U182" s="13"/>
      <c r="V182" s="13"/>
      <c r="W182" s="13"/>
      <c r="X182" s="13"/>
      <c r="Y182" s="13"/>
      <c r="Z182" s="13"/>
      <c r="AA182" s="13"/>
      <c r="AB182" s="13"/>
      <c r="AC182" s="13"/>
      <c r="AD182" s="13"/>
      <c r="AE182" s="13"/>
      <c r="AF182" s="13"/>
      <c r="AG182" s="13"/>
      <c r="AH182" s="13"/>
      <c r="AI182" s="13"/>
      <c r="AJ182" s="13"/>
      <c r="AK182" s="13"/>
      <c r="AL182" s="13"/>
      <c r="AM182" s="13"/>
      <c r="AN182" s="13"/>
      <c r="AO182" s="13"/>
      <c r="AP182" s="13"/>
      <c r="AQ182" s="13"/>
      <c r="AR182" s="13"/>
    </row>
    <row r="183" spans="5:44" x14ac:dyDescent="0.2">
      <c r="E183" s="15"/>
      <c r="O183" s="13"/>
      <c r="P183" s="13"/>
      <c r="Q183" s="13"/>
      <c r="R183" s="13"/>
      <c r="S183" s="13"/>
      <c r="T183" s="13"/>
      <c r="U183" s="13"/>
      <c r="V183" s="13"/>
      <c r="W183" s="13"/>
      <c r="X183" s="13"/>
      <c r="Y183" s="13"/>
      <c r="Z183" s="13"/>
      <c r="AA183" s="13"/>
      <c r="AB183" s="13"/>
      <c r="AC183" s="13"/>
      <c r="AD183" s="13"/>
      <c r="AE183" s="13"/>
      <c r="AF183" s="13"/>
      <c r="AG183" s="13"/>
      <c r="AH183" s="13"/>
      <c r="AI183" s="13"/>
      <c r="AJ183" s="13"/>
      <c r="AK183" s="13"/>
      <c r="AL183" s="13"/>
      <c r="AM183" s="13"/>
      <c r="AN183" s="13"/>
      <c r="AO183" s="13"/>
      <c r="AP183" s="13"/>
      <c r="AQ183" s="13"/>
      <c r="AR183" s="13"/>
    </row>
    <row r="184" spans="5:44" x14ac:dyDescent="0.2">
      <c r="E184" s="15"/>
      <c r="O184" s="13"/>
      <c r="P184" s="13"/>
      <c r="Q184" s="13"/>
      <c r="R184" s="13"/>
      <c r="S184" s="13"/>
      <c r="T184" s="13"/>
      <c r="U184" s="13"/>
      <c r="V184" s="13"/>
      <c r="W184" s="13"/>
      <c r="X184" s="13"/>
      <c r="Y184" s="13"/>
      <c r="Z184" s="13"/>
      <c r="AA184" s="13"/>
      <c r="AB184" s="13"/>
      <c r="AC184" s="13"/>
      <c r="AD184" s="13"/>
      <c r="AE184" s="13"/>
      <c r="AF184" s="13"/>
      <c r="AG184" s="13"/>
      <c r="AH184" s="13"/>
      <c r="AI184" s="13"/>
      <c r="AJ184" s="13"/>
      <c r="AK184" s="13"/>
      <c r="AL184" s="13"/>
      <c r="AM184" s="13"/>
      <c r="AN184" s="13"/>
      <c r="AO184" s="13"/>
      <c r="AP184" s="13"/>
      <c r="AQ184" s="13"/>
      <c r="AR184" s="13"/>
    </row>
    <row r="185" spans="5:44" x14ac:dyDescent="0.2">
      <c r="E185" s="15"/>
      <c r="O185" s="13"/>
      <c r="P185" s="13"/>
      <c r="Q185" s="13"/>
      <c r="R185" s="13"/>
      <c r="S185" s="13"/>
      <c r="T185" s="13"/>
      <c r="U185" s="13"/>
      <c r="V185" s="13"/>
      <c r="W185" s="13"/>
      <c r="X185" s="13"/>
      <c r="Y185" s="13"/>
      <c r="Z185" s="13"/>
      <c r="AA185" s="13"/>
      <c r="AB185" s="13"/>
      <c r="AC185" s="13"/>
      <c r="AD185" s="13"/>
      <c r="AE185" s="13"/>
      <c r="AF185" s="13"/>
      <c r="AG185" s="13"/>
      <c r="AH185" s="13"/>
      <c r="AI185" s="13"/>
      <c r="AJ185" s="13"/>
      <c r="AK185" s="13"/>
      <c r="AL185" s="13"/>
      <c r="AM185" s="13"/>
      <c r="AN185" s="13"/>
      <c r="AO185" s="13"/>
      <c r="AP185" s="13"/>
      <c r="AQ185" s="13"/>
      <c r="AR185" s="13"/>
    </row>
    <row r="186" spans="5:44" x14ac:dyDescent="0.2">
      <c r="E186" s="15"/>
      <c r="O186" s="13"/>
      <c r="P186" s="13"/>
      <c r="Q186" s="13"/>
      <c r="R186" s="13"/>
      <c r="S186" s="13"/>
      <c r="T186" s="13"/>
      <c r="U186" s="13"/>
      <c r="V186" s="13"/>
      <c r="W186" s="13"/>
      <c r="X186" s="13"/>
      <c r="Y186" s="13"/>
      <c r="Z186" s="13"/>
      <c r="AA186" s="13"/>
      <c r="AB186" s="13"/>
      <c r="AC186" s="13"/>
      <c r="AD186" s="13"/>
      <c r="AE186" s="13"/>
      <c r="AF186" s="13"/>
      <c r="AG186" s="13"/>
      <c r="AH186" s="13"/>
      <c r="AI186" s="13"/>
      <c r="AJ186" s="13"/>
      <c r="AK186" s="13"/>
      <c r="AL186" s="13"/>
      <c r="AM186" s="13"/>
      <c r="AN186" s="13"/>
      <c r="AO186" s="13"/>
      <c r="AP186" s="13"/>
      <c r="AQ186" s="13"/>
      <c r="AR186" s="13"/>
    </row>
    <row r="187" spans="5:44" x14ac:dyDescent="0.2">
      <c r="E187" s="15"/>
      <c r="O187" s="13"/>
      <c r="P187" s="13"/>
      <c r="Q187" s="13"/>
      <c r="R187" s="13"/>
      <c r="S187" s="13"/>
      <c r="T187" s="13"/>
      <c r="U187" s="13"/>
      <c r="V187" s="13"/>
      <c r="W187" s="13"/>
      <c r="X187" s="13"/>
      <c r="Y187" s="13"/>
      <c r="Z187" s="13"/>
      <c r="AA187" s="13"/>
      <c r="AB187" s="13"/>
      <c r="AC187" s="13"/>
      <c r="AD187" s="13"/>
      <c r="AE187" s="13"/>
      <c r="AF187" s="13"/>
      <c r="AG187" s="13"/>
      <c r="AH187" s="13"/>
      <c r="AI187" s="13"/>
      <c r="AJ187" s="13"/>
      <c r="AK187" s="13"/>
      <c r="AL187" s="13"/>
      <c r="AM187" s="13"/>
      <c r="AN187" s="13"/>
      <c r="AO187" s="13"/>
      <c r="AP187" s="13"/>
      <c r="AQ187" s="13"/>
      <c r="AR187" s="13"/>
    </row>
    <row r="188" spans="5:44" x14ac:dyDescent="0.2">
      <c r="E188" s="15"/>
      <c r="O188" s="13"/>
      <c r="P188" s="13"/>
      <c r="Q188" s="13"/>
      <c r="R188" s="13"/>
      <c r="S188" s="13"/>
      <c r="T188" s="13"/>
      <c r="U188" s="13"/>
      <c r="V188" s="13"/>
      <c r="W188" s="13"/>
      <c r="X188" s="13"/>
      <c r="Y188" s="13"/>
      <c r="Z188" s="13"/>
      <c r="AA188" s="13"/>
      <c r="AB188" s="13"/>
      <c r="AC188" s="13"/>
      <c r="AD188" s="13"/>
      <c r="AE188" s="13"/>
      <c r="AF188" s="13"/>
      <c r="AG188" s="13"/>
      <c r="AH188" s="13"/>
      <c r="AI188" s="13"/>
      <c r="AJ188" s="13"/>
      <c r="AK188" s="13"/>
      <c r="AL188" s="13"/>
      <c r="AM188" s="13"/>
      <c r="AN188" s="13"/>
      <c r="AO188" s="13"/>
      <c r="AP188" s="13"/>
      <c r="AQ188" s="13"/>
      <c r="AR188" s="13"/>
    </row>
    <row r="189" spans="5:44" x14ac:dyDescent="0.2">
      <c r="E189" s="15"/>
      <c r="O189" s="13"/>
      <c r="P189" s="13"/>
      <c r="Q189" s="13"/>
      <c r="R189" s="13"/>
      <c r="S189" s="13"/>
      <c r="T189" s="13"/>
      <c r="U189" s="13"/>
      <c r="V189" s="13"/>
      <c r="W189" s="13"/>
      <c r="X189" s="13"/>
      <c r="Y189" s="13"/>
      <c r="Z189" s="13"/>
      <c r="AA189" s="13"/>
      <c r="AB189" s="13"/>
      <c r="AC189" s="13"/>
      <c r="AD189" s="13"/>
      <c r="AE189" s="13"/>
      <c r="AF189" s="13"/>
      <c r="AG189" s="13"/>
      <c r="AH189" s="13"/>
      <c r="AI189" s="13"/>
      <c r="AJ189" s="13"/>
      <c r="AK189" s="13"/>
      <c r="AL189" s="13"/>
      <c r="AM189" s="13"/>
      <c r="AN189" s="13"/>
      <c r="AO189" s="13"/>
      <c r="AP189" s="13"/>
      <c r="AQ189" s="13"/>
      <c r="AR189" s="13"/>
    </row>
    <row r="190" spans="5:44" x14ac:dyDescent="0.2">
      <c r="E190" s="15"/>
      <c r="O190" s="13"/>
      <c r="P190" s="13"/>
      <c r="Q190" s="13"/>
      <c r="R190" s="13"/>
      <c r="S190" s="13"/>
      <c r="T190" s="13"/>
      <c r="U190" s="13"/>
      <c r="V190" s="13"/>
      <c r="W190" s="13"/>
      <c r="X190" s="13"/>
      <c r="Y190" s="13"/>
      <c r="Z190" s="13"/>
      <c r="AA190" s="13"/>
      <c r="AB190" s="13"/>
      <c r="AC190" s="13"/>
      <c r="AD190" s="13"/>
      <c r="AE190" s="13"/>
      <c r="AF190" s="13"/>
      <c r="AG190" s="13"/>
      <c r="AH190" s="13"/>
      <c r="AI190" s="13"/>
      <c r="AJ190" s="13"/>
      <c r="AK190" s="13"/>
      <c r="AL190" s="13"/>
      <c r="AM190" s="13"/>
      <c r="AN190" s="13"/>
      <c r="AO190" s="13"/>
      <c r="AP190" s="13"/>
      <c r="AQ190" s="13"/>
      <c r="AR190" s="13"/>
    </row>
    <row r="191" spans="5:44" x14ac:dyDescent="0.2">
      <c r="E191" s="15"/>
      <c r="O191" s="13"/>
      <c r="P191" s="13"/>
      <c r="Q191" s="13"/>
      <c r="R191" s="13"/>
      <c r="S191" s="13"/>
      <c r="T191" s="13"/>
      <c r="U191" s="13"/>
      <c r="V191" s="13"/>
      <c r="W191" s="13"/>
      <c r="X191" s="13"/>
      <c r="Y191" s="13"/>
      <c r="Z191" s="13"/>
      <c r="AA191" s="13"/>
      <c r="AB191" s="13"/>
      <c r="AC191" s="13"/>
      <c r="AD191" s="13"/>
      <c r="AE191" s="13"/>
      <c r="AF191" s="13"/>
      <c r="AG191" s="13"/>
      <c r="AH191" s="13"/>
      <c r="AI191" s="13"/>
      <c r="AJ191" s="13"/>
      <c r="AK191" s="13"/>
      <c r="AL191" s="13"/>
      <c r="AM191" s="13"/>
      <c r="AN191" s="13"/>
      <c r="AO191" s="13"/>
      <c r="AP191" s="13"/>
      <c r="AQ191" s="13"/>
      <c r="AR191" s="13"/>
    </row>
    <row r="192" spans="5:44" x14ac:dyDescent="0.2">
      <c r="E192" s="15"/>
      <c r="O192" s="13"/>
      <c r="P192" s="13"/>
      <c r="Q192" s="13"/>
      <c r="R192" s="13"/>
      <c r="S192" s="13"/>
      <c r="T192" s="13"/>
      <c r="U192" s="13"/>
      <c r="V192" s="13"/>
      <c r="W192" s="13"/>
      <c r="X192" s="13"/>
      <c r="Y192" s="13"/>
      <c r="Z192" s="13"/>
      <c r="AA192" s="13"/>
      <c r="AB192" s="13"/>
      <c r="AC192" s="13"/>
      <c r="AD192" s="13"/>
      <c r="AE192" s="13"/>
      <c r="AF192" s="13"/>
      <c r="AG192" s="13"/>
      <c r="AH192" s="13"/>
      <c r="AI192" s="13"/>
      <c r="AJ192" s="13"/>
      <c r="AK192" s="13"/>
      <c r="AL192" s="13"/>
      <c r="AM192" s="13"/>
      <c r="AN192" s="13"/>
      <c r="AO192" s="13"/>
      <c r="AP192" s="13"/>
      <c r="AQ192" s="13"/>
      <c r="AR192" s="13"/>
    </row>
    <row r="193" spans="5:44" x14ac:dyDescent="0.2">
      <c r="E193" s="15"/>
      <c r="O193" s="13"/>
      <c r="P193" s="13"/>
      <c r="Q193" s="13"/>
      <c r="R193" s="13"/>
      <c r="S193" s="13"/>
      <c r="T193" s="13"/>
      <c r="U193" s="13"/>
      <c r="V193" s="13"/>
      <c r="W193" s="13"/>
      <c r="X193" s="13"/>
      <c r="Y193" s="13"/>
      <c r="Z193" s="13"/>
      <c r="AA193" s="13"/>
      <c r="AB193" s="13"/>
      <c r="AC193" s="13"/>
      <c r="AD193" s="13"/>
      <c r="AE193" s="13"/>
      <c r="AF193" s="13"/>
      <c r="AG193" s="13"/>
      <c r="AH193" s="13"/>
      <c r="AI193" s="13"/>
      <c r="AJ193" s="13"/>
      <c r="AK193" s="13"/>
      <c r="AL193" s="13"/>
      <c r="AM193" s="13"/>
      <c r="AN193" s="13"/>
      <c r="AO193" s="13"/>
      <c r="AP193" s="13"/>
      <c r="AQ193" s="13"/>
      <c r="AR193" s="13"/>
    </row>
    <row r="194" spans="5:44" x14ac:dyDescent="0.2">
      <c r="E194" s="15"/>
      <c r="O194" s="13"/>
      <c r="P194" s="13"/>
      <c r="Q194" s="13"/>
      <c r="R194" s="13"/>
      <c r="S194" s="13"/>
      <c r="T194" s="13"/>
      <c r="U194" s="13"/>
      <c r="V194" s="13"/>
      <c r="W194" s="13"/>
      <c r="X194" s="13"/>
      <c r="Y194" s="13"/>
      <c r="Z194" s="13"/>
      <c r="AA194" s="13"/>
      <c r="AB194" s="13"/>
      <c r="AC194" s="13"/>
      <c r="AD194" s="13"/>
      <c r="AE194" s="13"/>
      <c r="AF194" s="13"/>
      <c r="AG194" s="13"/>
      <c r="AH194" s="13"/>
      <c r="AI194" s="13"/>
      <c r="AJ194" s="13"/>
      <c r="AK194" s="13"/>
      <c r="AL194" s="13"/>
      <c r="AM194" s="13"/>
      <c r="AN194" s="13"/>
      <c r="AO194" s="13"/>
      <c r="AP194" s="13"/>
      <c r="AQ194" s="13"/>
      <c r="AR194" s="13"/>
    </row>
    <row r="195" spans="5:44" x14ac:dyDescent="0.2">
      <c r="E195" s="15"/>
      <c r="O195" s="13"/>
      <c r="P195" s="13"/>
      <c r="Q195" s="13"/>
      <c r="R195" s="13"/>
      <c r="S195" s="13"/>
      <c r="T195" s="13"/>
      <c r="U195" s="13"/>
      <c r="V195" s="13"/>
      <c r="W195" s="13"/>
      <c r="X195" s="13"/>
      <c r="Y195" s="13"/>
      <c r="Z195" s="13"/>
      <c r="AA195" s="13"/>
      <c r="AB195" s="13"/>
      <c r="AC195" s="13"/>
      <c r="AD195" s="13"/>
      <c r="AE195" s="13"/>
      <c r="AF195" s="13"/>
      <c r="AG195" s="13"/>
      <c r="AH195" s="13"/>
      <c r="AI195" s="13"/>
      <c r="AJ195" s="13"/>
      <c r="AK195" s="13"/>
      <c r="AL195" s="13"/>
      <c r="AM195" s="13"/>
      <c r="AN195" s="13"/>
      <c r="AO195" s="13"/>
      <c r="AP195" s="13"/>
      <c r="AQ195" s="13"/>
      <c r="AR195" s="13"/>
    </row>
    <row r="196" spans="5:44" x14ac:dyDescent="0.2">
      <c r="E196" s="15"/>
      <c r="O196" s="13"/>
      <c r="P196" s="13"/>
      <c r="Q196" s="13"/>
      <c r="R196" s="13"/>
      <c r="S196" s="13"/>
      <c r="T196" s="13"/>
      <c r="U196" s="13"/>
      <c r="V196" s="13"/>
      <c r="W196" s="13"/>
      <c r="X196" s="13"/>
      <c r="Y196" s="13"/>
      <c r="Z196" s="13"/>
      <c r="AA196" s="13"/>
      <c r="AB196" s="13"/>
      <c r="AC196" s="13"/>
      <c r="AD196" s="13"/>
      <c r="AE196" s="13"/>
      <c r="AF196" s="13"/>
      <c r="AG196" s="13"/>
      <c r="AH196" s="13"/>
      <c r="AI196" s="13"/>
      <c r="AJ196" s="13"/>
      <c r="AK196" s="13"/>
      <c r="AL196" s="13"/>
      <c r="AM196" s="13"/>
      <c r="AN196" s="13"/>
      <c r="AO196" s="13"/>
      <c r="AP196" s="13"/>
      <c r="AQ196" s="13"/>
      <c r="AR196" s="13"/>
    </row>
    <row r="197" spans="5:44" x14ac:dyDescent="0.2">
      <c r="E197" s="15"/>
      <c r="O197" s="13"/>
      <c r="P197" s="13"/>
      <c r="Q197" s="13"/>
      <c r="R197" s="13"/>
      <c r="S197" s="13"/>
      <c r="T197" s="13"/>
      <c r="U197" s="13"/>
      <c r="V197" s="13"/>
      <c r="W197" s="13"/>
      <c r="X197" s="13"/>
      <c r="Y197" s="13"/>
      <c r="Z197" s="13"/>
      <c r="AA197" s="13"/>
      <c r="AB197" s="13"/>
      <c r="AC197" s="13"/>
      <c r="AD197" s="13"/>
      <c r="AE197" s="13"/>
      <c r="AF197" s="13"/>
      <c r="AG197" s="13"/>
      <c r="AH197" s="13"/>
      <c r="AI197" s="13"/>
      <c r="AJ197" s="13"/>
      <c r="AK197" s="13"/>
      <c r="AL197" s="13"/>
      <c r="AM197" s="13"/>
      <c r="AN197" s="13"/>
      <c r="AO197" s="13"/>
      <c r="AP197" s="13"/>
      <c r="AQ197" s="13"/>
      <c r="AR197" s="13"/>
    </row>
    <row r="198" spans="5:44" x14ac:dyDescent="0.2">
      <c r="E198" s="15"/>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3"/>
      <c r="AL198" s="13"/>
      <c r="AM198" s="13"/>
      <c r="AN198" s="13"/>
      <c r="AO198" s="13"/>
      <c r="AP198" s="13"/>
      <c r="AQ198" s="13"/>
      <c r="AR198" s="13"/>
    </row>
    <row r="199" spans="5:44" x14ac:dyDescent="0.2">
      <c r="E199" s="15"/>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13"/>
      <c r="AO199" s="13"/>
      <c r="AP199" s="13"/>
      <c r="AQ199" s="13"/>
      <c r="AR199" s="13"/>
    </row>
    <row r="200" spans="5:44" x14ac:dyDescent="0.2">
      <c r="E200" s="15"/>
      <c r="O200" s="13"/>
      <c r="P200" s="13"/>
      <c r="Q200" s="13"/>
      <c r="R200" s="13"/>
      <c r="S200" s="13"/>
      <c r="T200" s="13"/>
      <c r="U200" s="13"/>
      <c r="V200" s="13"/>
      <c r="W200" s="13"/>
      <c r="X200" s="13"/>
      <c r="Y200" s="13"/>
      <c r="Z200" s="13"/>
      <c r="AA200" s="13"/>
      <c r="AB200" s="13"/>
      <c r="AC200" s="13"/>
      <c r="AD200" s="13"/>
      <c r="AE200" s="13"/>
      <c r="AF200" s="13"/>
      <c r="AG200" s="13"/>
      <c r="AH200" s="13"/>
      <c r="AI200" s="13"/>
      <c r="AJ200" s="13"/>
      <c r="AK200" s="13"/>
      <c r="AL200" s="13"/>
      <c r="AM200" s="13"/>
      <c r="AN200" s="13"/>
      <c r="AO200" s="13"/>
      <c r="AP200" s="13"/>
      <c r="AQ200" s="13"/>
      <c r="AR200" s="13"/>
    </row>
    <row r="201" spans="5:44" x14ac:dyDescent="0.2">
      <c r="E201" s="15"/>
      <c r="O201" s="13"/>
      <c r="P201" s="13"/>
      <c r="Q201" s="13"/>
      <c r="R201" s="13"/>
      <c r="S201" s="13"/>
      <c r="T201" s="13"/>
      <c r="U201" s="13"/>
      <c r="V201" s="13"/>
      <c r="W201" s="13"/>
      <c r="X201" s="13"/>
      <c r="Y201" s="13"/>
      <c r="Z201" s="13"/>
      <c r="AA201" s="13"/>
      <c r="AB201" s="13"/>
      <c r="AC201" s="13"/>
      <c r="AD201" s="13"/>
      <c r="AE201" s="13"/>
      <c r="AF201" s="13"/>
      <c r="AG201" s="13"/>
      <c r="AH201" s="13"/>
      <c r="AI201" s="13"/>
      <c r="AJ201" s="13"/>
      <c r="AK201" s="13"/>
      <c r="AL201" s="13"/>
      <c r="AM201" s="13"/>
      <c r="AN201" s="13"/>
      <c r="AO201" s="13"/>
      <c r="AP201" s="13"/>
      <c r="AQ201" s="13"/>
      <c r="AR201" s="13"/>
    </row>
    <row r="202" spans="5:44" x14ac:dyDescent="0.2">
      <c r="E202" s="15"/>
      <c r="O202" s="13"/>
      <c r="P202" s="13"/>
      <c r="Q202" s="13"/>
      <c r="R202" s="13"/>
      <c r="S202" s="13"/>
      <c r="T202" s="13"/>
      <c r="U202" s="13"/>
      <c r="V202" s="13"/>
      <c r="W202" s="13"/>
      <c r="X202" s="13"/>
      <c r="Y202" s="13"/>
      <c r="Z202" s="13"/>
      <c r="AA202" s="13"/>
      <c r="AB202" s="13"/>
      <c r="AC202" s="13"/>
      <c r="AD202" s="13"/>
      <c r="AE202" s="13"/>
      <c r="AF202" s="13"/>
      <c r="AG202" s="13"/>
      <c r="AH202" s="13"/>
      <c r="AI202" s="13"/>
      <c r="AJ202" s="13"/>
      <c r="AK202" s="13"/>
      <c r="AL202" s="13"/>
      <c r="AM202" s="13"/>
      <c r="AN202" s="13"/>
      <c r="AO202" s="13"/>
      <c r="AP202" s="13"/>
      <c r="AQ202" s="13"/>
      <c r="AR202" s="13"/>
    </row>
    <row r="203" spans="5:44" x14ac:dyDescent="0.2">
      <c r="E203" s="15"/>
      <c r="O203" s="13"/>
      <c r="P203" s="13"/>
      <c r="Q203" s="13"/>
      <c r="R203" s="13"/>
      <c r="S203" s="13"/>
      <c r="T203" s="13"/>
      <c r="U203" s="13"/>
      <c r="V203" s="13"/>
      <c r="W203" s="13"/>
      <c r="X203" s="13"/>
      <c r="Y203" s="13"/>
      <c r="Z203" s="13"/>
      <c r="AA203" s="13"/>
      <c r="AB203" s="13"/>
      <c r="AC203" s="13"/>
      <c r="AD203" s="13"/>
      <c r="AE203" s="13"/>
      <c r="AF203" s="13"/>
      <c r="AG203" s="13"/>
      <c r="AH203" s="13"/>
      <c r="AI203" s="13"/>
      <c r="AJ203" s="13"/>
      <c r="AK203" s="13"/>
      <c r="AL203" s="13"/>
      <c r="AM203" s="13"/>
      <c r="AN203" s="13"/>
      <c r="AO203" s="13"/>
      <c r="AP203" s="13"/>
      <c r="AQ203" s="13"/>
      <c r="AR203" s="13"/>
    </row>
    <row r="204" spans="5:44" x14ac:dyDescent="0.2">
      <c r="E204" s="15"/>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3"/>
      <c r="AM204" s="13"/>
      <c r="AN204" s="13"/>
      <c r="AO204" s="13"/>
      <c r="AP204" s="13"/>
      <c r="AQ204" s="13"/>
      <c r="AR204" s="13"/>
    </row>
    <row r="205" spans="5:44" x14ac:dyDescent="0.2">
      <c r="E205" s="15"/>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c r="AN205" s="13"/>
      <c r="AO205" s="13"/>
      <c r="AP205" s="13"/>
      <c r="AQ205" s="13"/>
      <c r="AR205" s="13"/>
    </row>
    <row r="206" spans="5:44" x14ac:dyDescent="0.2">
      <c r="E206" s="15"/>
      <c r="O206" s="13"/>
      <c r="P206" s="13"/>
      <c r="Q206" s="13"/>
      <c r="R206" s="13"/>
      <c r="S206" s="13"/>
      <c r="T206" s="13"/>
      <c r="U206" s="13"/>
      <c r="V206" s="13"/>
      <c r="W206" s="13"/>
      <c r="X206" s="13"/>
      <c r="Y206" s="13"/>
      <c r="Z206" s="13"/>
      <c r="AA206" s="13"/>
      <c r="AB206" s="13"/>
      <c r="AC206" s="13"/>
      <c r="AD206" s="13"/>
      <c r="AE206" s="13"/>
      <c r="AF206" s="13"/>
      <c r="AG206" s="13"/>
      <c r="AH206" s="13"/>
      <c r="AI206" s="13"/>
      <c r="AJ206" s="13"/>
      <c r="AK206" s="13"/>
      <c r="AL206" s="13"/>
      <c r="AM206" s="13"/>
      <c r="AN206" s="13"/>
      <c r="AO206" s="13"/>
      <c r="AP206" s="13"/>
      <c r="AQ206" s="13"/>
      <c r="AR206" s="13"/>
    </row>
    <row r="207" spans="5:44" x14ac:dyDescent="0.2">
      <c r="E207" s="15"/>
      <c r="O207" s="1"/>
      <c r="P207" s="1"/>
      <c r="Q207" s="1"/>
      <c r="R207" s="1"/>
      <c r="S207" s="13"/>
      <c r="T207" s="13"/>
      <c r="U207" s="13"/>
      <c r="V207" s="13"/>
      <c r="W207" s="13"/>
      <c r="X207" s="13"/>
      <c r="Y207" s="13"/>
      <c r="Z207" s="13"/>
      <c r="AA207" s="13"/>
      <c r="AB207" s="13"/>
      <c r="AC207" s="13"/>
      <c r="AD207" s="13"/>
      <c r="AE207" s="13"/>
      <c r="AF207" s="13"/>
      <c r="AG207" s="13"/>
      <c r="AH207" s="13"/>
      <c r="AI207" s="13"/>
      <c r="AJ207" s="13"/>
      <c r="AK207" s="13"/>
      <c r="AL207" s="13"/>
      <c r="AM207" s="13"/>
      <c r="AN207" s="13"/>
      <c r="AO207" s="13"/>
      <c r="AP207" s="13"/>
      <c r="AQ207" s="13"/>
      <c r="AR207" s="13"/>
    </row>
    <row r="208" spans="5:44" x14ac:dyDescent="0.2">
      <c r="E208" s="15"/>
      <c r="O208" s="1"/>
      <c r="P208" s="1"/>
      <c r="Q208" s="1"/>
      <c r="R208" s="1"/>
      <c r="S208" s="13"/>
      <c r="T208" s="13"/>
      <c r="U208" s="13"/>
      <c r="V208" s="13"/>
      <c r="W208" s="13"/>
      <c r="X208" s="13"/>
      <c r="Y208" s="13"/>
      <c r="Z208" s="13"/>
      <c r="AA208" s="13"/>
      <c r="AB208" s="13"/>
      <c r="AC208" s="13"/>
      <c r="AD208" s="13"/>
      <c r="AE208" s="13"/>
      <c r="AF208" s="13"/>
      <c r="AG208" s="13"/>
      <c r="AH208" s="13"/>
      <c r="AI208" s="13"/>
      <c r="AJ208" s="13"/>
      <c r="AK208" s="13"/>
      <c r="AL208" s="13"/>
      <c r="AM208" s="13"/>
      <c r="AN208" s="13"/>
      <c r="AO208" s="13"/>
      <c r="AP208" s="13"/>
      <c r="AQ208" s="13"/>
      <c r="AR208" s="13"/>
    </row>
    <row r="209" spans="5:44" x14ac:dyDescent="0.2">
      <c r="E209" s="15"/>
      <c r="O209" s="1"/>
      <c r="P209" s="1"/>
      <c r="Q209" s="1"/>
      <c r="R209" s="1"/>
      <c r="S209" s="13"/>
      <c r="T209" s="13"/>
      <c r="U209" s="13"/>
      <c r="V209" s="13"/>
      <c r="W209" s="13"/>
      <c r="X209" s="13"/>
      <c r="Y209" s="13"/>
      <c r="Z209" s="13"/>
      <c r="AA209" s="13"/>
      <c r="AB209" s="13"/>
      <c r="AC209" s="13"/>
      <c r="AD209" s="13"/>
      <c r="AE209" s="13"/>
      <c r="AF209" s="13"/>
      <c r="AG209" s="13"/>
      <c r="AH209" s="13"/>
      <c r="AI209" s="13"/>
      <c r="AJ209" s="13"/>
      <c r="AK209" s="13"/>
      <c r="AL209" s="13"/>
      <c r="AM209" s="13"/>
      <c r="AN209" s="13"/>
      <c r="AO209" s="13"/>
      <c r="AP209" s="13"/>
      <c r="AQ209" s="13"/>
      <c r="AR209" s="13"/>
    </row>
    <row r="210" spans="5:44" x14ac:dyDescent="0.2">
      <c r="E210" s="15"/>
      <c r="O210" s="1"/>
      <c r="P210" s="1"/>
      <c r="Q210" s="1"/>
      <c r="R210" s="1"/>
      <c r="S210" s="13"/>
      <c r="T210" s="13"/>
      <c r="U210" s="13"/>
      <c r="V210" s="13"/>
      <c r="W210" s="13"/>
      <c r="X210" s="13"/>
      <c r="Y210" s="13"/>
      <c r="Z210" s="13"/>
      <c r="AA210" s="13"/>
      <c r="AB210" s="13"/>
      <c r="AC210" s="13"/>
      <c r="AD210" s="13"/>
      <c r="AE210" s="13"/>
      <c r="AF210" s="13"/>
      <c r="AG210" s="13"/>
      <c r="AH210" s="13"/>
      <c r="AI210" s="13"/>
      <c r="AJ210" s="13"/>
      <c r="AK210" s="13"/>
      <c r="AL210" s="13"/>
      <c r="AM210" s="13"/>
      <c r="AN210" s="13"/>
      <c r="AO210" s="13"/>
      <c r="AP210" s="13"/>
      <c r="AQ210" s="13"/>
      <c r="AR210" s="13"/>
    </row>
    <row r="211" spans="5:44" x14ac:dyDescent="0.2">
      <c r="E211" s="15"/>
      <c r="O211" s="1"/>
      <c r="P211" s="1"/>
      <c r="Q211" s="1"/>
      <c r="R211" s="1"/>
      <c r="S211" s="13"/>
      <c r="T211" s="13"/>
      <c r="U211" s="13"/>
      <c r="V211" s="13"/>
      <c r="W211" s="13"/>
      <c r="X211" s="13"/>
      <c r="Y211" s="13"/>
      <c r="Z211" s="13"/>
      <c r="AA211" s="13"/>
      <c r="AB211" s="13"/>
      <c r="AC211" s="13"/>
      <c r="AD211" s="13"/>
      <c r="AE211" s="13"/>
      <c r="AF211" s="13"/>
      <c r="AG211" s="13"/>
      <c r="AH211" s="13"/>
      <c r="AI211" s="13"/>
      <c r="AJ211" s="13"/>
      <c r="AK211" s="13"/>
      <c r="AL211" s="13"/>
      <c r="AM211" s="13"/>
      <c r="AN211" s="13"/>
      <c r="AO211" s="13"/>
      <c r="AP211" s="13"/>
      <c r="AQ211" s="13"/>
      <c r="AR211" s="13"/>
    </row>
    <row r="212" spans="5:44" x14ac:dyDescent="0.2">
      <c r="E212" s="15"/>
      <c r="O212" s="1"/>
      <c r="P212" s="1"/>
      <c r="Q212" s="1"/>
      <c r="R212" s="1"/>
      <c r="S212" s="13"/>
      <c r="T212" s="13"/>
      <c r="U212" s="13"/>
      <c r="V212" s="13"/>
      <c r="W212" s="13"/>
      <c r="X212" s="13"/>
      <c r="Y212" s="13"/>
      <c r="Z212" s="13"/>
      <c r="AA212" s="13"/>
      <c r="AB212" s="13"/>
      <c r="AC212" s="13"/>
      <c r="AD212" s="13"/>
      <c r="AE212" s="13"/>
      <c r="AF212" s="13"/>
      <c r="AG212" s="13"/>
      <c r="AH212" s="13"/>
      <c r="AI212" s="13"/>
      <c r="AJ212" s="13"/>
      <c r="AK212" s="13"/>
      <c r="AL212" s="13"/>
      <c r="AM212" s="13"/>
      <c r="AN212" s="13"/>
      <c r="AO212" s="13"/>
      <c r="AP212" s="13"/>
      <c r="AQ212" s="13"/>
      <c r="AR212" s="13"/>
    </row>
    <row r="213" spans="5:44" x14ac:dyDescent="0.2">
      <c r="E213" s="15"/>
      <c r="O213" s="1"/>
      <c r="P213" s="1"/>
      <c r="Q213" s="1"/>
      <c r="R213" s="1"/>
      <c r="S213" s="13"/>
      <c r="T213" s="13"/>
      <c r="U213" s="13"/>
      <c r="V213" s="13"/>
      <c r="W213" s="13"/>
      <c r="X213" s="13"/>
      <c r="Y213" s="13"/>
      <c r="Z213" s="13"/>
      <c r="AA213" s="13"/>
      <c r="AB213" s="13"/>
      <c r="AC213" s="13"/>
      <c r="AD213" s="13"/>
      <c r="AE213" s="13"/>
      <c r="AF213" s="13"/>
      <c r="AG213" s="13"/>
      <c r="AH213" s="13"/>
      <c r="AI213" s="13"/>
      <c r="AJ213" s="13"/>
      <c r="AK213" s="13"/>
      <c r="AL213" s="13"/>
      <c r="AM213" s="13"/>
      <c r="AN213" s="13"/>
      <c r="AO213" s="13"/>
      <c r="AP213" s="13"/>
      <c r="AQ213" s="13"/>
      <c r="AR213" s="13"/>
    </row>
    <row r="214" spans="5:44" x14ac:dyDescent="0.2">
      <c r="E214" s="15"/>
      <c r="O214" s="1"/>
      <c r="P214" s="1"/>
      <c r="Q214" s="1"/>
      <c r="R214" s="1"/>
      <c r="S214" s="13"/>
      <c r="T214" s="13"/>
      <c r="U214" s="13"/>
      <c r="V214" s="13"/>
      <c r="W214" s="13"/>
      <c r="X214" s="13"/>
      <c r="Y214" s="13"/>
      <c r="Z214" s="13"/>
      <c r="AA214" s="13"/>
      <c r="AB214" s="13"/>
      <c r="AC214" s="13"/>
      <c r="AD214" s="13"/>
      <c r="AE214" s="13"/>
      <c r="AF214" s="13"/>
      <c r="AG214" s="13"/>
      <c r="AH214" s="13"/>
      <c r="AI214" s="13"/>
      <c r="AJ214" s="13"/>
      <c r="AK214" s="13"/>
      <c r="AL214" s="13"/>
      <c r="AM214" s="13"/>
      <c r="AN214" s="13"/>
      <c r="AO214" s="13"/>
      <c r="AP214" s="13"/>
      <c r="AQ214" s="13"/>
      <c r="AR214" s="13"/>
    </row>
    <row r="215" spans="5:44" x14ac:dyDescent="0.2">
      <c r="E215" s="15"/>
      <c r="O215" s="1"/>
      <c r="P215" s="1"/>
      <c r="Q215" s="1"/>
      <c r="R215" s="1"/>
      <c r="S215" s="13"/>
      <c r="T215" s="13"/>
      <c r="U215" s="13"/>
      <c r="V215" s="13"/>
      <c r="W215" s="13"/>
      <c r="X215" s="13"/>
      <c r="Y215" s="13"/>
      <c r="Z215" s="13"/>
      <c r="AA215" s="13"/>
      <c r="AB215" s="13"/>
      <c r="AC215" s="13"/>
      <c r="AD215" s="13"/>
      <c r="AE215" s="13"/>
      <c r="AF215" s="13"/>
      <c r="AG215" s="13"/>
      <c r="AH215" s="13"/>
      <c r="AI215" s="13"/>
      <c r="AJ215" s="13"/>
      <c r="AK215" s="13"/>
      <c r="AL215" s="13"/>
      <c r="AM215" s="13"/>
      <c r="AN215" s="13"/>
      <c r="AO215" s="13"/>
      <c r="AP215" s="13"/>
      <c r="AQ215" s="13"/>
      <c r="AR215" s="13"/>
    </row>
    <row r="216" spans="5:44" x14ac:dyDescent="0.2">
      <c r="E216" s="15"/>
      <c r="O216" s="1"/>
      <c r="P216" s="1"/>
      <c r="Q216" s="1"/>
      <c r="R216" s="1"/>
      <c r="S216" s="13"/>
      <c r="T216" s="13"/>
      <c r="U216" s="13"/>
      <c r="V216" s="13"/>
      <c r="W216" s="13"/>
      <c r="X216" s="13"/>
      <c r="Y216" s="13"/>
      <c r="Z216" s="13"/>
      <c r="AA216" s="13"/>
      <c r="AB216" s="13"/>
      <c r="AC216" s="13"/>
      <c r="AD216" s="13"/>
      <c r="AE216" s="13"/>
      <c r="AF216" s="13"/>
      <c r="AG216" s="13"/>
      <c r="AH216" s="13"/>
      <c r="AI216" s="13"/>
      <c r="AJ216" s="13"/>
      <c r="AK216" s="13"/>
      <c r="AL216" s="13"/>
      <c r="AM216" s="13"/>
      <c r="AN216" s="13"/>
      <c r="AO216" s="13"/>
      <c r="AP216" s="13"/>
      <c r="AQ216" s="13"/>
      <c r="AR216" s="13"/>
    </row>
    <row r="217" spans="5:44" x14ac:dyDescent="0.2">
      <c r="E217" s="15"/>
      <c r="O217" s="1"/>
      <c r="P217" s="1"/>
      <c r="Q217" s="1"/>
      <c r="R217" s="1"/>
      <c r="S217" s="13"/>
      <c r="T217" s="13"/>
      <c r="U217" s="13"/>
      <c r="V217" s="13"/>
      <c r="W217" s="13"/>
      <c r="X217" s="13"/>
      <c r="Y217" s="13"/>
      <c r="Z217" s="13"/>
      <c r="AA217" s="13"/>
      <c r="AB217" s="13"/>
      <c r="AC217" s="13"/>
      <c r="AD217" s="13"/>
      <c r="AE217" s="13"/>
      <c r="AF217" s="13"/>
      <c r="AG217" s="13"/>
      <c r="AH217" s="13"/>
      <c r="AI217" s="13"/>
      <c r="AJ217" s="13"/>
      <c r="AK217" s="13"/>
      <c r="AL217" s="13"/>
      <c r="AM217" s="13"/>
      <c r="AN217" s="13"/>
      <c r="AO217" s="13"/>
      <c r="AP217" s="13"/>
      <c r="AQ217" s="13"/>
      <c r="AR217" s="13"/>
    </row>
    <row r="218" spans="5:44" x14ac:dyDescent="0.2">
      <c r="E218" s="15"/>
      <c r="O218" s="1"/>
      <c r="P218" s="1"/>
      <c r="Q218" s="1"/>
      <c r="R218" s="1"/>
      <c r="S218" s="13"/>
      <c r="T218" s="13"/>
      <c r="U218" s="13"/>
      <c r="V218" s="13"/>
      <c r="W218" s="13"/>
      <c r="X218" s="13"/>
      <c r="Y218" s="13"/>
      <c r="Z218" s="13"/>
      <c r="AA218" s="13"/>
      <c r="AB218" s="13"/>
      <c r="AC218" s="13"/>
      <c r="AD218" s="13"/>
      <c r="AE218" s="13"/>
      <c r="AF218" s="13"/>
      <c r="AG218" s="13"/>
      <c r="AH218" s="13"/>
      <c r="AI218" s="13"/>
      <c r="AJ218" s="13"/>
      <c r="AK218" s="13"/>
      <c r="AL218" s="13"/>
      <c r="AM218" s="13"/>
      <c r="AN218" s="13"/>
      <c r="AO218" s="13"/>
      <c r="AP218" s="13"/>
      <c r="AQ218" s="13"/>
      <c r="AR218" s="13"/>
    </row>
    <row r="219" spans="5:44" x14ac:dyDescent="0.2">
      <c r="E219" s="15"/>
      <c r="O219" s="1"/>
      <c r="P219" s="1"/>
      <c r="Q219" s="1"/>
      <c r="R219" s="1"/>
      <c r="S219" s="13"/>
      <c r="T219" s="13"/>
      <c r="U219" s="13"/>
      <c r="V219" s="13"/>
      <c r="W219" s="13"/>
      <c r="X219" s="13"/>
      <c r="Y219" s="13"/>
      <c r="Z219" s="13"/>
      <c r="AA219" s="13"/>
      <c r="AB219" s="13"/>
      <c r="AC219" s="13"/>
      <c r="AD219" s="13"/>
      <c r="AE219" s="13"/>
      <c r="AF219" s="13"/>
      <c r="AG219" s="13"/>
      <c r="AH219" s="13"/>
      <c r="AI219" s="13"/>
      <c r="AJ219" s="13"/>
      <c r="AK219" s="13"/>
      <c r="AL219" s="13"/>
      <c r="AM219" s="13"/>
      <c r="AN219" s="13"/>
      <c r="AO219" s="13"/>
      <c r="AP219" s="13"/>
      <c r="AQ219" s="13"/>
      <c r="AR219" s="13"/>
    </row>
    <row r="220" spans="5:44" x14ac:dyDescent="0.2">
      <c r="E220" s="15"/>
      <c r="O220" s="1"/>
      <c r="P220" s="1"/>
      <c r="Q220" s="1"/>
      <c r="R220" s="1"/>
      <c r="S220" s="13"/>
      <c r="T220" s="13"/>
      <c r="U220" s="13"/>
      <c r="V220" s="13"/>
      <c r="W220" s="13"/>
      <c r="X220" s="13"/>
      <c r="Y220" s="13"/>
      <c r="Z220" s="13"/>
      <c r="AA220" s="13"/>
      <c r="AB220" s="13"/>
      <c r="AC220" s="13"/>
      <c r="AD220" s="13"/>
      <c r="AE220" s="13"/>
      <c r="AF220" s="13"/>
      <c r="AG220" s="13"/>
      <c r="AH220" s="13"/>
      <c r="AI220" s="13"/>
      <c r="AJ220" s="13"/>
      <c r="AK220" s="13"/>
      <c r="AL220" s="13"/>
      <c r="AM220" s="13"/>
      <c r="AN220" s="13"/>
      <c r="AO220" s="13"/>
      <c r="AP220" s="13"/>
      <c r="AQ220" s="13"/>
      <c r="AR220" s="13"/>
    </row>
    <row r="221" spans="5:44" x14ac:dyDescent="0.2">
      <c r="E221" s="15"/>
      <c r="O221" s="1"/>
      <c r="P221" s="1"/>
      <c r="Q221" s="1"/>
      <c r="R221" s="1"/>
      <c r="S221" s="13"/>
      <c r="T221" s="13"/>
      <c r="U221" s="13"/>
      <c r="V221" s="13"/>
      <c r="W221" s="13"/>
      <c r="X221" s="13"/>
      <c r="Y221" s="13"/>
      <c r="Z221" s="13"/>
      <c r="AA221" s="13"/>
      <c r="AB221" s="13"/>
      <c r="AC221" s="13"/>
      <c r="AD221" s="13"/>
      <c r="AE221" s="13"/>
      <c r="AF221" s="13"/>
      <c r="AG221" s="13"/>
      <c r="AH221" s="13"/>
      <c r="AI221" s="13"/>
      <c r="AJ221" s="13"/>
      <c r="AK221" s="13"/>
      <c r="AL221" s="13"/>
      <c r="AM221" s="13"/>
      <c r="AN221" s="13"/>
      <c r="AO221" s="13"/>
      <c r="AP221" s="13"/>
      <c r="AQ221" s="13"/>
      <c r="AR221" s="13"/>
    </row>
    <row r="222" spans="5:44" x14ac:dyDescent="0.2">
      <c r="E222" s="15"/>
      <c r="O222" s="1"/>
      <c r="P222" s="1"/>
      <c r="Q222" s="1"/>
      <c r="R222" s="1"/>
      <c r="S222" s="13"/>
      <c r="T222" s="13"/>
      <c r="U222" s="13"/>
      <c r="V222" s="13"/>
      <c r="W222" s="13"/>
      <c r="X222" s="13"/>
      <c r="Y222" s="13"/>
      <c r="Z222" s="13"/>
      <c r="AA222" s="13"/>
      <c r="AB222" s="13"/>
      <c r="AC222" s="13"/>
      <c r="AD222" s="13"/>
      <c r="AE222" s="13"/>
      <c r="AF222" s="13"/>
      <c r="AG222" s="13"/>
      <c r="AH222" s="13"/>
      <c r="AI222" s="13"/>
      <c r="AJ222" s="13"/>
      <c r="AK222" s="13"/>
      <c r="AL222" s="13"/>
      <c r="AM222" s="13"/>
      <c r="AN222" s="13"/>
      <c r="AO222" s="13"/>
      <c r="AP222" s="13"/>
      <c r="AQ222" s="13"/>
      <c r="AR222" s="13"/>
    </row>
    <row r="223" spans="5:44" x14ac:dyDescent="0.2">
      <c r="E223" s="15"/>
      <c r="O223" s="1"/>
      <c r="P223" s="1"/>
      <c r="Q223" s="1"/>
      <c r="R223" s="1"/>
      <c r="S223" s="13"/>
      <c r="T223" s="13"/>
      <c r="U223" s="13"/>
      <c r="V223" s="13"/>
      <c r="W223" s="13"/>
      <c r="X223" s="13"/>
      <c r="Y223" s="13"/>
      <c r="Z223" s="13"/>
      <c r="AA223" s="13"/>
      <c r="AB223" s="13"/>
      <c r="AC223" s="13"/>
      <c r="AD223" s="13"/>
      <c r="AE223" s="13"/>
      <c r="AF223" s="13"/>
      <c r="AG223" s="13"/>
      <c r="AH223" s="13"/>
      <c r="AI223" s="13"/>
      <c r="AJ223" s="13"/>
      <c r="AK223" s="13"/>
      <c r="AL223" s="13"/>
      <c r="AM223" s="13"/>
      <c r="AN223" s="13"/>
      <c r="AO223" s="13"/>
      <c r="AP223" s="13"/>
      <c r="AQ223" s="13"/>
      <c r="AR223" s="13"/>
    </row>
    <row r="224" spans="5:44" x14ac:dyDescent="0.2">
      <c r="E224" s="15"/>
      <c r="O224" s="1"/>
      <c r="P224" s="1"/>
      <c r="Q224" s="1"/>
      <c r="R224" s="1"/>
      <c r="S224" s="13"/>
      <c r="T224" s="13"/>
      <c r="U224" s="13"/>
      <c r="V224" s="13"/>
      <c r="W224" s="13"/>
      <c r="X224" s="13"/>
      <c r="Y224" s="13"/>
      <c r="Z224" s="13"/>
      <c r="AA224" s="13"/>
      <c r="AB224" s="13"/>
      <c r="AC224" s="13"/>
      <c r="AD224" s="13"/>
      <c r="AE224" s="13"/>
      <c r="AF224" s="13"/>
      <c r="AG224" s="13"/>
      <c r="AH224" s="13"/>
      <c r="AI224" s="13"/>
      <c r="AJ224" s="13"/>
      <c r="AK224" s="13"/>
      <c r="AL224" s="13"/>
      <c r="AM224" s="13"/>
      <c r="AN224" s="13"/>
      <c r="AO224" s="13"/>
      <c r="AP224" s="13"/>
      <c r="AQ224" s="13"/>
      <c r="AR224" s="13"/>
    </row>
    <row r="225" spans="5:44" x14ac:dyDescent="0.2">
      <c r="E225" s="15"/>
      <c r="O225" s="1"/>
      <c r="P225" s="1"/>
      <c r="Q225" s="1"/>
      <c r="R225" s="1"/>
      <c r="S225" s="13"/>
      <c r="T225" s="13"/>
      <c r="U225" s="13"/>
      <c r="V225" s="13"/>
      <c r="W225" s="13"/>
      <c r="X225" s="13"/>
      <c r="Y225" s="13"/>
      <c r="Z225" s="13"/>
      <c r="AA225" s="13"/>
      <c r="AB225" s="13"/>
      <c r="AC225" s="13"/>
      <c r="AD225" s="13"/>
      <c r="AE225" s="13"/>
      <c r="AF225" s="13"/>
      <c r="AG225" s="13"/>
      <c r="AH225" s="13"/>
      <c r="AI225" s="13"/>
      <c r="AJ225" s="13"/>
      <c r="AK225" s="13"/>
      <c r="AL225" s="13"/>
      <c r="AM225" s="13"/>
      <c r="AN225" s="13"/>
      <c r="AO225" s="13"/>
      <c r="AP225" s="13"/>
      <c r="AQ225" s="13"/>
      <c r="AR225" s="13"/>
    </row>
    <row r="226" spans="5:44" x14ac:dyDescent="0.2">
      <c r="E226" s="15"/>
      <c r="O226" s="1"/>
      <c r="P226" s="1"/>
      <c r="Q226" s="1"/>
      <c r="R226" s="1"/>
      <c r="S226" s="13"/>
      <c r="T226" s="13"/>
      <c r="U226" s="13"/>
      <c r="V226" s="13"/>
      <c r="W226" s="13"/>
      <c r="X226" s="13"/>
      <c r="Y226" s="13"/>
      <c r="Z226" s="13"/>
      <c r="AA226" s="13"/>
      <c r="AB226" s="13"/>
      <c r="AC226" s="13"/>
      <c r="AD226" s="13"/>
      <c r="AE226" s="13"/>
      <c r="AF226" s="13"/>
      <c r="AG226" s="13"/>
      <c r="AH226" s="13"/>
      <c r="AI226" s="13"/>
      <c r="AJ226" s="13"/>
      <c r="AK226" s="13"/>
      <c r="AL226" s="13"/>
      <c r="AM226" s="13"/>
      <c r="AN226" s="13"/>
      <c r="AO226" s="13"/>
      <c r="AP226" s="13"/>
      <c r="AQ226" s="13"/>
      <c r="AR226" s="13"/>
    </row>
    <row r="227" spans="5:44" x14ac:dyDescent="0.2">
      <c r="E227" s="15"/>
      <c r="O227" s="1"/>
      <c r="P227" s="1"/>
      <c r="Q227" s="1"/>
      <c r="R227" s="1"/>
      <c r="S227" s="13"/>
      <c r="T227" s="13"/>
      <c r="U227" s="13"/>
      <c r="V227" s="13"/>
      <c r="W227" s="13"/>
      <c r="X227" s="13"/>
      <c r="Y227" s="13"/>
      <c r="Z227" s="13"/>
      <c r="AA227" s="13"/>
      <c r="AB227" s="13"/>
      <c r="AC227" s="13"/>
      <c r="AD227" s="13"/>
      <c r="AE227" s="13"/>
      <c r="AF227" s="13"/>
      <c r="AG227" s="13"/>
      <c r="AH227" s="13"/>
      <c r="AI227" s="13"/>
      <c r="AJ227" s="13"/>
      <c r="AK227" s="13"/>
      <c r="AL227" s="13"/>
      <c r="AM227" s="13"/>
      <c r="AN227" s="13"/>
      <c r="AO227" s="13"/>
      <c r="AP227" s="13"/>
      <c r="AQ227" s="13"/>
      <c r="AR227" s="13"/>
    </row>
    <row r="228" spans="5:44" x14ac:dyDescent="0.2">
      <c r="E228" s="15"/>
      <c r="O228" s="1"/>
      <c r="P228" s="1"/>
      <c r="Q228" s="1"/>
      <c r="R228" s="1"/>
      <c r="S228" s="13"/>
      <c r="T228" s="13"/>
      <c r="U228" s="13"/>
      <c r="V228" s="13"/>
      <c r="W228" s="13"/>
      <c r="X228" s="13"/>
      <c r="Y228" s="13"/>
      <c r="Z228" s="13"/>
      <c r="AA228" s="13"/>
      <c r="AB228" s="13"/>
      <c r="AC228" s="13"/>
      <c r="AD228" s="13"/>
      <c r="AE228" s="13"/>
      <c r="AF228" s="13"/>
      <c r="AG228" s="13"/>
      <c r="AH228" s="13"/>
      <c r="AI228" s="13"/>
      <c r="AJ228" s="13"/>
      <c r="AK228" s="13"/>
      <c r="AL228" s="13"/>
      <c r="AM228" s="13"/>
      <c r="AN228" s="13"/>
      <c r="AO228" s="13"/>
      <c r="AP228" s="13"/>
      <c r="AQ228" s="13"/>
      <c r="AR228" s="13"/>
    </row>
    <row r="229" spans="5:44" x14ac:dyDescent="0.2">
      <c r="E229" s="15"/>
      <c r="O229" s="1"/>
      <c r="P229" s="1"/>
      <c r="Q229" s="1"/>
      <c r="R229" s="1"/>
      <c r="S229" s="13"/>
      <c r="T229" s="13"/>
      <c r="U229" s="13"/>
      <c r="V229" s="13"/>
      <c r="W229" s="13"/>
      <c r="X229" s="13"/>
      <c r="Y229" s="13"/>
      <c r="Z229" s="13"/>
      <c r="AA229" s="13"/>
      <c r="AB229" s="13"/>
      <c r="AC229" s="13"/>
      <c r="AD229" s="13"/>
      <c r="AE229" s="13"/>
      <c r="AF229" s="13"/>
      <c r="AG229" s="13"/>
      <c r="AH229" s="13"/>
      <c r="AI229" s="13"/>
      <c r="AJ229" s="13"/>
      <c r="AK229" s="13"/>
      <c r="AL229" s="13"/>
      <c r="AM229" s="13"/>
      <c r="AN229" s="13"/>
      <c r="AO229" s="13"/>
      <c r="AP229" s="13"/>
      <c r="AQ229" s="13"/>
      <c r="AR229" s="13"/>
    </row>
    <row r="230" spans="5:44" x14ac:dyDescent="0.2">
      <c r="E230" s="15"/>
      <c r="O230" s="1"/>
      <c r="P230" s="1"/>
      <c r="Q230" s="1"/>
      <c r="R230" s="1"/>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row>
    <row r="231" spans="5:44" x14ac:dyDescent="0.2">
      <c r="E231" s="15"/>
      <c r="O231" s="1"/>
      <c r="P231" s="1"/>
      <c r="Q231" s="1"/>
      <c r="R231" s="1"/>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row>
    <row r="232" spans="5:44" x14ac:dyDescent="0.2">
      <c r="E232" s="15"/>
      <c r="O232" s="1"/>
      <c r="P232" s="1"/>
      <c r="Q232" s="1"/>
      <c r="R232" s="1"/>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row>
    <row r="233" spans="5:44" x14ac:dyDescent="0.2">
      <c r="E233" s="15"/>
      <c r="O233" s="1"/>
      <c r="P233" s="1"/>
      <c r="Q233" s="1"/>
      <c r="R233" s="1"/>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row>
    <row r="234" spans="5:44" x14ac:dyDescent="0.2">
      <c r="E234" s="15"/>
      <c r="O234" s="1"/>
      <c r="P234" s="1"/>
      <c r="Q234" s="1"/>
      <c r="R234" s="1"/>
      <c r="S234" s="13"/>
      <c r="T234" s="13"/>
      <c r="U234" s="13"/>
      <c r="V234" s="13"/>
      <c r="W234" s="13"/>
      <c r="X234" s="13"/>
      <c r="Y234" s="13"/>
      <c r="Z234" s="13"/>
      <c r="AA234" s="13"/>
      <c r="AB234" s="13"/>
      <c r="AC234" s="13"/>
      <c r="AD234" s="13"/>
      <c r="AE234" s="13"/>
      <c r="AF234" s="13"/>
      <c r="AG234" s="13"/>
      <c r="AH234" s="13"/>
      <c r="AI234" s="13"/>
      <c r="AJ234" s="13"/>
      <c r="AK234" s="13"/>
      <c r="AL234" s="13"/>
      <c r="AM234" s="13"/>
      <c r="AN234" s="13"/>
      <c r="AO234" s="13"/>
      <c r="AP234" s="13"/>
      <c r="AQ234" s="13"/>
      <c r="AR234" s="13"/>
    </row>
    <row r="235" spans="5:44" x14ac:dyDescent="0.2">
      <c r="E235" s="15"/>
      <c r="O235" s="1"/>
      <c r="P235" s="1"/>
      <c r="Q235" s="1"/>
      <c r="R235" s="1"/>
      <c r="S235" s="13"/>
      <c r="T235" s="13"/>
      <c r="U235" s="13"/>
      <c r="V235" s="13"/>
      <c r="W235" s="13"/>
      <c r="X235" s="13"/>
      <c r="Y235" s="13"/>
      <c r="Z235" s="13"/>
      <c r="AA235" s="13"/>
      <c r="AB235" s="13"/>
      <c r="AC235" s="13"/>
      <c r="AD235" s="13"/>
      <c r="AE235" s="13"/>
      <c r="AF235" s="13"/>
      <c r="AG235" s="13"/>
      <c r="AH235" s="13"/>
      <c r="AI235" s="13"/>
      <c r="AJ235" s="13"/>
      <c r="AK235" s="13"/>
      <c r="AL235" s="13"/>
      <c r="AM235" s="13"/>
      <c r="AN235" s="13"/>
      <c r="AO235" s="13"/>
      <c r="AP235" s="13"/>
      <c r="AQ235" s="13"/>
      <c r="AR235" s="13"/>
    </row>
    <row r="236" spans="5:44" x14ac:dyDescent="0.2">
      <c r="E236" s="15"/>
      <c r="O236" s="1"/>
      <c r="P236" s="1"/>
      <c r="Q236" s="1"/>
      <c r="R236" s="1"/>
      <c r="S236" s="13"/>
      <c r="T236" s="13"/>
      <c r="U236" s="13"/>
      <c r="V236" s="13"/>
      <c r="W236" s="13"/>
      <c r="X236" s="13"/>
      <c r="Y236" s="13"/>
      <c r="Z236" s="13"/>
      <c r="AA236" s="13"/>
      <c r="AB236" s="13"/>
      <c r="AC236" s="13"/>
      <c r="AD236" s="13"/>
      <c r="AE236" s="13"/>
      <c r="AF236" s="13"/>
      <c r="AG236" s="13"/>
      <c r="AH236" s="13"/>
      <c r="AI236" s="13"/>
      <c r="AJ236" s="13"/>
      <c r="AK236" s="13"/>
      <c r="AL236" s="13"/>
      <c r="AM236" s="13"/>
      <c r="AN236" s="13"/>
      <c r="AO236" s="13"/>
      <c r="AP236" s="13"/>
      <c r="AQ236" s="13"/>
      <c r="AR236" s="13"/>
    </row>
    <row r="237" spans="5:44" x14ac:dyDescent="0.2">
      <c r="E237" s="15"/>
      <c r="O237" s="1"/>
      <c r="P237" s="1"/>
      <c r="Q237" s="1"/>
      <c r="R237" s="1"/>
      <c r="S237" s="13"/>
      <c r="T237" s="13"/>
      <c r="U237" s="13"/>
      <c r="V237" s="13"/>
      <c r="W237" s="13"/>
      <c r="X237" s="13"/>
      <c r="Y237" s="13"/>
      <c r="Z237" s="13"/>
      <c r="AA237" s="13"/>
      <c r="AB237" s="13"/>
      <c r="AC237" s="13"/>
      <c r="AD237" s="13"/>
      <c r="AE237" s="13"/>
      <c r="AF237" s="13"/>
      <c r="AG237" s="13"/>
      <c r="AH237" s="13"/>
      <c r="AI237" s="13"/>
      <c r="AJ237" s="13"/>
      <c r="AK237" s="13"/>
      <c r="AL237" s="13"/>
      <c r="AM237" s="13"/>
      <c r="AN237" s="13"/>
      <c r="AO237" s="13"/>
      <c r="AP237" s="13"/>
      <c r="AQ237" s="13"/>
      <c r="AR237" s="13"/>
    </row>
    <row r="238" spans="5:44" x14ac:dyDescent="0.2">
      <c r="E238" s="15"/>
      <c r="O238" s="1"/>
      <c r="P238" s="1"/>
      <c r="Q238" s="1"/>
      <c r="R238" s="1"/>
      <c r="S238" s="13"/>
      <c r="T238" s="13"/>
      <c r="U238" s="13"/>
      <c r="V238" s="13"/>
      <c r="W238" s="13"/>
      <c r="X238" s="13"/>
      <c r="Y238" s="13"/>
      <c r="Z238" s="13"/>
      <c r="AA238" s="13"/>
      <c r="AB238" s="13"/>
      <c r="AC238" s="13"/>
      <c r="AD238" s="13"/>
      <c r="AE238" s="13"/>
      <c r="AF238" s="13"/>
      <c r="AG238" s="13"/>
      <c r="AH238" s="13"/>
      <c r="AI238" s="13"/>
      <c r="AJ238" s="13"/>
      <c r="AK238" s="13"/>
      <c r="AL238" s="13"/>
      <c r="AM238" s="13"/>
      <c r="AN238" s="13"/>
      <c r="AO238" s="13"/>
      <c r="AP238" s="13"/>
      <c r="AQ238" s="13"/>
      <c r="AR238" s="13"/>
    </row>
    <row r="239" spans="5:44" x14ac:dyDescent="0.2">
      <c r="O239" s="1"/>
      <c r="P239" s="1"/>
      <c r="Q239" s="1"/>
      <c r="R239" s="1"/>
      <c r="S239" s="13"/>
      <c r="T239" s="13"/>
      <c r="U239" s="13"/>
      <c r="V239" s="13"/>
      <c r="W239" s="13"/>
      <c r="X239" s="13"/>
      <c r="Y239" s="13"/>
      <c r="Z239" s="13"/>
      <c r="AA239" s="13"/>
      <c r="AB239" s="13"/>
      <c r="AC239" s="13"/>
      <c r="AD239" s="13"/>
      <c r="AE239" s="13"/>
      <c r="AF239" s="13"/>
      <c r="AG239" s="13"/>
      <c r="AH239" s="13"/>
      <c r="AI239" s="13"/>
      <c r="AJ239" s="13"/>
      <c r="AK239" s="13"/>
      <c r="AL239" s="13"/>
      <c r="AM239" s="13"/>
      <c r="AN239" s="13"/>
      <c r="AO239" s="13"/>
      <c r="AP239" s="13"/>
      <c r="AQ239" s="13"/>
      <c r="AR239" s="13"/>
    </row>
    <row r="240" spans="5:44" x14ac:dyDescent="0.2">
      <c r="O240" s="1"/>
      <c r="P240" s="1"/>
      <c r="Q240" s="1"/>
      <c r="R240" s="1"/>
      <c r="S240" s="13"/>
      <c r="T240" s="13"/>
      <c r="U240" s="13"/>
      <c r="V240" s="13"/>
      <c r="W240" s="13"/>
      <c r="X240" s="13"/>
      <c r="Y240" s="13"/>
      <c r="Z240" s="13"/>
      <c r="AA240" s="13"/>
      <c r="AB240" s="13"/>
      <c r="AC240" s="13"/>
      <c r="AD240" s="13"/>
      <c r="AE240" s="13"/>
      <c r="AF240" s="13"/>
      <c r="AG240" s="13"/>
      <c r="AH240" s="13"/>
      <c r="AI240" s="13"/>
      <c r="AJ240" s="13"/>
      <c r="AK240" s="13"/>
      <c r="AL240" s="13"/>
      <c r="AM240" s="13"/>
      <c r="AN240" s="13"/>
      <c r="AO240" s="13"/>
      <c r="AP240" s="13"/>
      <c r="AQ240" s="13"/>
      <c r="AR240" s="13"/>
    </row>
    <row r="241" spans="15:44" x14ac:dyDescent="0.2">
      <c r="O241" s="1"/>
      <c r="P241" s="1"/>
      <c r="Q241" s="1"/>
      <c r="R241" s="1"/>
      <c r="S241" s="13"/>
      <c r="T241" s="13"/>
      <c r="U241" s="13"/>
      <c r="V241" s="13"/>
      <c r="W241" s="13"/>
      <c r="X241" s="13"/>
      <c r="Y241" s="13"/>
      <c r="Z241" s="13"/>
      <c r="AA241" s="13"/>
      <c r="AB241" s="13"/>
      <c r="AC241" s="13"/>
      <c r="AD241" s="13"/>
      <c r="AE241" s="13"/>
      <c r="AF241" s="13"/>
      <c r="AG241" s="13"/>
      <c r="AH241" s="13"/>
      <c r="AI241" s="13"/>
      <c r="AJ241" s="13"/>
      <c r="AK241" s="13"/>
      <c r="AL241" s="13"/>
      <c r="AM241" s="13"/>
      <c r="AN241" s="13"/>
      <c r="AO241" s="13"/>
      <c r="AP241" s="13"/>
      <c r="AQ241" s="13"/>
      <c r="AR241" s="13"/>
    </row>
    <row r="242" spans="15:44" x14ac:dyDescent="0.2">
      <c r="O242" s="1"/>
      <c r="P242" s="1"/>
      <c r="Q242" s="1"/>
      <c r="R242" s="1"/>
      <c r="S242" s="13"/>
      <c r="T242" s="13"/>
      <c r="U242" s="13"/>
      <c r="V242" s="13"/>
      <c r="W242" s="13"/>
      <c r="X242" s="13"/>
      <c r="Y242" s="13"/>
      <c r="Z242" s="13"/>
      <c r="AA242" s="13"/>
      <c r="AB242" s="13"/>
      <c r="AC242" s="13"/>
      <c r="AD242" s="13"/>
      <c r="AE242" s="13"/>
      <c r="AF242" s="13"/>
      <c r="AG242" s="13"/>
      <c r="AH242" s="13"/>
      <c r="AI242" s="13"/>
      <c r="AJ242" s="13"/>
      <c r="AK242" s="13"/>
      <c r="AL242" s="13"/>
      <c r="AM242" s="13"/>
      <c r="AN242" s="13"/>
      <c r="AO242" s="13"/>
      <c r="AP242" s="13"/>
      <c r="AQ242" s="13"/>
      <c r="AR242" s="13"/>
    </row>
    <row r="243" spans="15:44" x14ac:dyDescent="0.2">
      <c r="O243" s="1"/>
      <c r="P243" s="1"/>
      <c r="Q243" s="1"/>
      <c r="R243" s="1"/>
      <c r="S243" s="13"/>
      <c r="T243" s="13"/>
      <c r="U243" s="13"/>
      <c r="V243" s="13"/>
      <c r="W243" s="13"/>
      <c r="X243" s="13"/>
      <c r="Y243" s="13"/>
      <c r="Z243" s="13"/>
      <c r="AA243" s="13"/>
      <c r="AB243" s="13"/>
      <c r="AC243" s="13"/>
      <c r="AD243" s="13"/>
      <c r="AE243" s="13"/>
      <c r="AF243" s="13"/>
      <c r="AG243" s="13"/>
      <c r="AH243" s="13"/>
      <c r="AI243" s="13"/>
      <c r="AJ243" s="13"/>
      <c r="AK243" s="13"/>
      <c r="AL243" s="13"/>
      <c r="AM243" s="13"/>
      <c r="AN243" s="13"/>
      <c r="AO243" s="13"/>
      <c r="AP243" s="13"/>
      <c r="AQ243" s="13"/>
      <c r="AR243" s="13"/>
    </row>
    <row r="244" spans="15:44" x14ac:dyDescent="0.2">
      <c r="O244" s="1"/>
      <c r="P244" s="1"/>
      <c r="Q244" s="1"/>
      <c r="R244" s="1"/>
      <c r="S244" s="13"/>
      <c r="T244" s="13"/>
      <c r="U244" s="13"/>
      <c r="V244" s="13"/>
      <c r="W244" s="13"/>
      <c r="X244" s="13"/>
      <c r="Y244" s="13"/>
      <c r="Z244" s="13"/>
      <c r="AA244" s="13"/>
      <c r="AB244" s="13"/>
      <c r="AC244" s="13"/>
      <c r="AD244" s="13"/>
      <c r="AE244" s="13"/>
      <c r="AF244" s="13"/>
      <c r="AG244" s="13"/>
      <c r="AH244" s="13"/>
      <c r="AI244" s="13"/>
      <c r="AJ244" s="13"/>
      <c r="AK244" s="13"/>
      <c r="AL244" s="13"/>
      <c r="AM244" s="13"/>
      <c r="AN244" s="13"/>
      <c r="AO244" s="13"/>
      <c r="AP244" s="13"/>
      <c r="AQ244" s="13"/>
      <c r="AR244" s="13"/>
    </row>
    <row r="245" spans="15:44" x14ac:dyDescent="0.2">
      <c r="O245" s="1"/>
      <c r="P245" s="1"/>
      <c r="Q245" s="1"/>
      <c r="R245" s="1"/>
      <c r="S245" s="13"/>
      <c r="T245" s="13"/>
      <c r="U245" s="13"/>
      <c r="V245" s="13"/>
      <c r="W245" s="13"/>
      <c r="X245" s="13"/>
      <c r="Y245" s="13"/>
      <c r="Z245" s="13"/>
      <c r="AA245" s="13"/>
      <c r="AB245" s="13"/>
      <c r="AC245" s="13"/>
      <c r="AD245" s="13"/>
      <c r="AE245" s="13"/>
      <c r="AF245" s="13"/>
      <c r="AG245" s="13"/>
      <c r="AH245" s="13"/>
      <c r="AI245" s="13"/>
      <c r="AJ245" s="13"/>
      <c r="AK245" s="13"/>
      <c r="AL245" s="13"/>
      <c r="AM245" s="13"/>
      <c r="AN245" s="13"/>
      <c r="AO245" s="13"/>
      <c r="AP245" s="13"/>
      <c r="AQ245" s="13"/>
      <c r="AR245" s="13"/>
    </row>
    <row r="246" spans="15:44" x14ac:dyDescent="0.2">
      <c r="O246" s="1"/>
      <c r="P246" s="1"/>
      <c r="Q246" s="1"/>
      <c r="R246" s="1"/>
      <c r="S246" s="13"/>
      <c r="T246" s="13"/>
      <c r="U246" s="13"/>
      <c r="V246" s="13"/>
      <c r="W246" s="13"/>
      <c r="X246" s="13"/>
      <c r="Y246" s="13"/>
      <c r="Z246" s="13"/>
      <c r="AA246" s="13"/>
      <c r="AB246" s="13"/>
      <c r="AC246" s="13"/>
      <c r="AD246" s="13"/>
      <c r="AE246" s="13"/>
      <c r="AF246" s="13"/>
      <c r="AG246" s="13"/>
      <c r="AH246" s="13"/>
      <c r="AI246" s="13"/>
      <c r="AJ246" s="13"/>
      <c r="AK246" s="13"/>
      <c r="AL246" s="13"/>
      <c r="AM246" s="13"/>
      <c r="AN246" s="13"/>
      <c r="AO246" s="13"/>
      <c r="AP246" s="13"/>
      <c r="AQ246" s="13"/>
      <c r="AR246" s="13"/>
    </row>
    <row r="247" spans="15:44" x14ac:dyDescent="0.2">
      <c r="O247" s="1"/>
      <c r="P247" s="1"/>
      <c r="Q247" s="1"/>
      <c r="R247" s="1"/>
      <c r="S247" s="13"/>
      <c r="T247" s="13"/>
      <c r="U247" s="13"/>
      <c r="V247" s="13"/>
      <c r="W247" s="13"/>
      <c r="X247" s="13"/>
      <c r="Y247" s="13"/>
      <c r="Z247" s="13"/>
      <c r="AA247" s="13"/>
      <c r="AB247" s="13"/>
      <c r="AC247" s="13"/>
      <c r="AD247" s="13"/>
      <c r="AE247" s="13"/>
      <c r="AF247" s="13"/>
      <c r="AG247" s="13"/>
      <c r="AH247" s="13"/>
      <c r="AI247" s="13"/>
      <c r="AJ247" s="13"/>
      <c r="AK247" s="13"/>
      <c r="AL247" s="13"/>
      <c r="AM247" s="13"/>
      <c r="AN247" s="13"/>
      <c r="AO247" s="13"/>
      <c r="AP247" s="13"/>
      <c r="AQ247" s="13"/>
      <c r="AR247" s="13"/>
    </row>
    <row r="248" spans="15:44" x14ac:dyDescent="0.2">
      <c r="O248" s="1"/>
      <c r="P248" s="1"/>
      <c r="Q248" s="1"/>
      <c r="R248" s="1"/>
      <c r="S248" s="13"/>
      <c r="T248" s="13"/>
      <c r="U248" s="13"/>
      <c r="V248" s="13"/>
      <c r="W248" s="13"/>
      <c r="X248" s="13"/>
      <c r="Y248" s="13"/>
      <c r="Z248" s="13"/>
      <c r="AA248" s="13"/>
      <c r="AB248" s="13"/>
      <c r="AC248" s="13"/>
      <c r="AD248" s="13"/>
      <c r="AE248" s="13"/>
      <c r="AF248" s="13"/>
      <c r="AG248" s="13"/>
      <c r="AH248" s="13"/>
      <c r="AI248" s="13"/>
      <c r="AJ248" s="13"/>
      <c r="AK248" s="13"/>
      <c r="AL248" s="13"/>
      <c r="AM248" s="13"/>
      <c r="AN248" s="13"/>
      <c r="AO248" s="13"/>
      <c r="AP248" s="13"/>
      <c r="AQ248" s="13"/>
      <c r="AR248" s="13"/>
    </row>
    <row r="249" spans="15:44" x14ac:dyDescent="0.2">
      <c r="O249" s="1"/>
      <c r="P249" s="1"/>
      <c r="Q249" s="1"/>
      <c r="R249" s="1"/>
      <c r="S249" s="13"/>
      <c r="T249" s="13"/>
      <c r="U249" s="13"/>
      <c r="V249" s="13"/>
      <c r="W249" s="13"/>
      <c r="X249" s="13"/>
      <c r="Y249" s="13"/>
      <c r="Z249" s="13"/>
      <c r="AA249" s="13"/>
      <c r="AB249" s="13"/>
      <c r="AC249" s="13"/>
      <c r="AD249" s="13"/>
      <c r="AE249" s="13"/>
      <c r="AF249" s="13"/>
      <c r="AG249" s="13"/>
      <c r="AH249" s="13"/>
      <c r="AI249" s="13"/>
      <c r="AJ249" s="13"/>
      <c r="AK249" s="13"/>
      <c r="AL249" s="13"/>
      <c r="AM249" s="13"/>
      <c r="AN249" s="13"/>
      <c r="AO249" s="13"/>
      <c r="AP249" s="13"/>
      <c r="AQ249" s="13"/>
      <c r="AR249" s="13"/>
    </row>
    <row r="250" spans="15:44" x14ac:dyDescent="0.2">
      <c r="O250" s="1"/>
      <c r="P250" s="1"/>
      <c r="Q250" s="1"/>
      <c r="R250" s="1"/>
      <c r="S250" s="13"/>
      <c r="T250" s="13"/>
      <c r="U250" s="13"/>
      <c r="V250" s="13"/>
      <c r="W250" s="13"/>
      <c r="X250" s="13"/>
      <c r="Y250" s="13"/>
      <c r="Z250" s="13"/>
      <c r="AA250" s="13"/>
      <c r="AB250" s="13"/>
      <c r="AC250" s="13"/>
      <c r="AD250" s="13"/>
      <c r="AE250" s="13"/>
      <c r="AF250" s="13"/>
      <c r="AG250" s="13"/>
      <c r="AH250" s="13"/>
      <c r="AI250" s="13"/>
      <c r="AJ250" s="13"/>
      <c r="AK250" s="13"/>
      <c r="AL250" s="13"/>
      <c r="AM250" s="13"/>
      <c r="AN250" s="13"/>
      <c r="AO250" s="13"/>
      <c r="AP250" s="13"/>
      <c r="AQ250" s="13"/>
      <c r="AR250" s="13"/>
    </row>
    <row r="251" spans="15:44" x14ac:dyDescent="0.2">
      <c r="O251" s="1"/>
      <c r="P251" s="1"/>
      <c r="Q251" s="1"/>
      <c r="R251" s="1"/>
      <c r="S251" s="13"/>
      <c r="T251" s="13"/>
      <c r="U251" s="13"/>
      <c r="V251" s="13"/>
      <c r="W251" s="13"/>
      <c r="X251" s="13"/>
      <c r="Y251" s="13"/>
      <c r="Z251" s="13"/>
      <c r="AA251" s="13"/>
      <c r="AB251" s="13"/>
      <c r="AC251" s="13"/>
      <c r="AD251" s="13"/>
      <c r="AE251" s="13"/>
      <c r="AF251" s="13"/>
      <c r="AG251" s="13"/>
      <c r="AH251" s="13"/>
      <c r="AI251" s="13"/>
      <c r="AJ251" s="13"/>
      <c r="AK251" s="13"/>
      <c r="AL251" s="13"/>
      <c r="AM251" s="13"/>
      <c r="AN251" s="13"/>
      <c r="AO251" s="13"/>
      <c r="AP251" s="13"/>
      <c r="AQ251" s="13"/>
      <c r="AR251" s="13"/>
    </row>
    <row r="252" spans="15:44" x14ac:dyDescent="0.2">
      <c r="O252" s="1"/>
      <c r="P252" s="1"/>
      <c r="Q252" s="1"/>
      <c r="R252" s="1"/>
      <c r="S252" s="13"/>
      <c r="T252" s="13"/>
      <c r="U252" s="13"/>
      <c r="V252" s="13"/>
      <c r="W252" s="13"/>
      <c r="X252" s="13"/>
      <c r="Y252" s="13"/>
      <c r="Z252" s="13"/>
      <c r="AA252" s="13"/>
      <c r="AB252" s="13"/>
      <c r="AC252" s="13"/>
      <c r="AD252" s="13"/>
      <c r="AE252" s="13"/>
      <c r="AF252" s="13"/>
      <c r="AG252" s="13"/>
      <c r="AH252" s="13"/>
      <c r="AI252" s="13"/>
      <c r="AJ252" s="13"/>
      <c r="AK252" s="13"/>
      <c r="AL252" s="13"/>
      <c r="AM252" s="13"/>
      <c r="AN252" s="13"/>
      <c r="AO252" s="13"/>
      <c r="AP252" s="13"/>
      <c r="AQ252" s="13"/>
      <c r="AR252" s="13"/>
    </row>
    <row r="253" spans="15:44" x14ac:dyDescent="0.2">
      <c r="O253" s="1"/>
      <c r="P253" s="1"/>
      <c r="Q253" s="1"/>
      <c r="R253" s="1"/>
      <c r="S253" s="13"/>
      <c r="T253" s="13"/>
      <c r="U253" s="13"/>
      <c r="V253" s="13"/>
      <c r="W253" s="13"/>
      <c r="X253" s="13"/>
      <c r="Y253" s="13"/>
      <c r="Z253" s="13"/>
      <c r="AA253" s="13"/>
      <c r="AB253" s="13"/>
      <c r="AC253" s="13"/>
      <c r="AD253" s="13"/>
      <c r="AE253" s="13"/>
      <c r="AF253" s="13"/>
      <c r="AG253" s="13"/>
      <c r="AH253" s="13"/>
      <c r="AI253" s="13"/>
      <c r="AJ253" s="13"/>
      <c r="AK253" s="13"/>
      <c r="AL253" s="13"/>
      <c r="AM253" s="13"/>
      <c r="AN253" s="13"/>
      <c r="AO253" s="13"/>
      <c r="AP253" s="13"/>
      <c r="AQ253" s="13"/>
      <c r="AR253" s="13"/>
    </row>
    <row r="254" spans="15:44" x14ac:dyDescent="0.2">
      <c r="O254" s="1"/>
      <c r="P254" s="1"/>
      <c r="Q254" s="1"/>
      <c r="R254" s="1"/>
      <c r="S254" s="13"/>
      <c r="T254" s="13"/>
      <c r="U254" s="13"/>
      <c r="V254" s="13"/>
      <c r="W254" s="13"/>
      <c r="X254" s="13"/>
      <c r="Y254" s="13"/>
      <c r="Z254" s="13"/>
      <c r="AA254" s="13"/>
      <c r="AB254" s="13"/>
      <c r="AC254" s="13"/>
      <c r="AD254" s="13"/>
      <c r="AE254" s="13"/>
      <c r="AF254" s="13"/>
      <c r="AG254" s="13"/>
      <c r="AH254" s="13"/>
      <c r="AI254" s="13"/>
      <c r="AJ254" s="13"/>
      <c r="AK254" s="13"/>
      <c r="AL254" s="13"/>
      <c r="AM254" s="13"/>
      <c r="AN254" s="13"/>
      <c r="AO254" s="13"/>
      <c r="AP254" s="13"/>
      <c r="AQ254" s="13"/>
      <c r="AR254" s="13"/>
    </row>
    <row r="255" spans="15:44" x14ac:dyDescent="0.2">
      <c r="O255" s="1"/>
      <c r="P255" s="1"/>
      <c r="Q255" s="1"/>
      <c r="R255" s="1"/>
      <c r="S255" s="13"/>
      <c r="T255" s="13"/>
      <c r="U255" s="13"/>
      <c r="V255" s="13"/>
      <c r="W255" s="13"/>
      <c r="X255" s="13"/>
      <c r="Y255" s="13"/>
      <c r="Z255" s="13"/>
      <c r="AA255" s="13"/>
      <c r="AB255" s="13"/>
      <c r="AC255" s="13"/>
      <c r="AD255" s="13"/>
      <c r="AE255" s="13"/>
      <c r="AF255" s="13"/>
      <c r="AG255" s="13"/>
      <c r="AH255" s="13"/>
      <c r="AI255" s="13"/>
      <c r="AJ255" s="13"/>
      <c r="AK255" s="13"/>
      <c r="AL255" s="13"/>
      <c r="AM255" s="13"/>
      <c r="AN255" s="13"/>
      <c r="AO255" s="13"/>
      <c r="AP255" s="13"/>
      <c r="AQ255" s="13"/>
      <c r="AR255" s="13"/>
    </row>
    <row r="256" spans="15:44" x14ac:dyDescent="0.2">
      <c r="O256" s="1"/>
      <c r="P256" s="1"/>
      <c r="Q256" s="1"/>
      <c r="R256" s="1"/>
      <c r="S256" s="13"/>
      <c r="T256" s="13"/>
      <c r="U256" s="13"/>
      <c r="V256" s="13"/>
      <c r="W256" s="13"/>
      <c r="X256" s="13"/>
      <c r="Y256" s="13"/>
      <c r="Z256" s="13"/>
      <c r="AA256" s="13"/>
      <c r="AB256" s="13"/>
      <c r="AC256" s="13"/>
      <c r="AD256" s="13"/>
      <c r="AE256" s="13"/>
      <c r="AF256" s="13"/>
      <c r="AG256" s="13"/>
      <c r="AH256" s="13"/>
      <c r="AI256" s="13"/>
      <c r="AJ256" s="13"/>
      <c r="AK256" s="13"/>
      <c r="AL256" s="13"/>
      <c r="AM256" s="13"/>
      <c r="AN256" s="13"/>
      <c r="AO256" s="13"/>
      <c r="AP256" s="13"/>
      <c r="AQ256" s="13"/>
      <c r="AR256" s="13"/>
    </row>
    <row r="257" spans="15:44" x14ac:dyDescent="0.2">
      <c r="O257" s="1"/>
      <c r="P257" s="1"/>
      <c r="Q257" s="1"/>
      <c r="R257" s="1"/>
      <c r="S257" s="13"/>
      <c r="T257" s="13"/>
      <c r="U257" s="13"/>
      <c r="V257" s="13"/>
      <c r="W257" s="13"/>
      <c r="X257" s="13"/>
      <c r="Y257" s="13"/>
      <c r="Z257" s="13"/>
      <c r="AA257" s="13"/>
      <c r="AB257" s="13"/>
      <c r="AC257" s="13"/>
      <c r="AD257" s="13"/>
      <c r="AE257" s="13"/>
      <c r="AF257" s="13"/>
      <c r="AG257" s="13"/>
      <c r="AH257" s="13"/>
      <c r="AI257" s="13"/>
      <c r="AJ257" s="13"/>
      <c r="AK257" s="13"/>
      <c r="AL257" s="13"/>
      <c r="AM257" s="13"/>
      <c r="AN257" s="13"/>
      <c r="AO257" s="13"/>
      <c r="AP257" s="13"/>
      <c r="AQ257" s="13"/>
      <c r="AR257" s="13"/>
    </row>
    <row r="258" spans="15:44" x14ac:dyDescent="0.2">
      <c r="O258" s="1"/>
      <c r="P258" s="1"/>
      <c r="Q258" s="1"/>
      <c r="R258" s="1"/>
      <c r="S258" s="13"/>
      <c r="T258" s="13"/>
      <c r="U258" s="13"/>
      <c r="V258" s="13"/>
      <c r="W258" s="13"/>
      <c r="X258" s="13"/>
      <c r="Y258" s="13"/>
      <c r="Z258" s="13"/>
      <c r="AA258" s="13"/>
      <c r="AB258" s="13"/>
      <c r="AC258" s="13"/>
      <c r="AD258" s="13"/>
      <c r="AE258" s="13"/>
      <c r="AF258" s="13"/>
      <c r="AG258" s="13"/>
      <c r="AH258" s="13"/>
      <c r="AI258" s="13"/>
      <c r="AJ258" s="13"/>
      <c r="AK258" s="13"/>
      <c r="AL258" s="13"/>
      <c r="AM258" s="13"/>
      <c r="AN258" s="13"/>
      <c r="AO258" s="13"/>
      <c r="AP258" s="13"/>
      <c r="AQ258" s="13"/>
      <c r="AR258" s="13"/>
    </row>
    <row r="259" spans="15:44" x14ac:dyDescent="0.2">
      <c r="O259" s="1"/>
      <c r="P259" s="1"/>
      <c r="Q259" s="1"/>
      <c r="R259" s="1"/>
      <c r="S259" s="13"/>
      <c r="T259" s="13"/>
      <c r="U259" s="13"/>
      <c r="V259" s="13"/>
      <c r="W259" s="13"/>
      <c r="X259" s="13"/>
      <c r="Y259" s="13"/>
      <c r="Z259" s="13"/>
      <c r="AA259" s="13"/>
      <c r="AB259" s="13"/>
      <c r="AC259" s="13"/>
      <c r="AD259" s="13"/>
      <c r="AE259" s="13"/>
      <c r="AF259" s="13"/>
      <c r="AG259" s="13"/>
      <c r="AH259" s="13"/>
      <c r="AI259" s="13"/>
      <c r="AJ259" s="13"/>
      <c r="AK259" s="13"/>
      <c r="AL259" s="13"/>
      <c r="AM259" s="13"/>
      <c r="AN259" s="13"/>
      <c r="AO259" s="13"/>
      <c r="AP259" s="13"/>
      <c r="AQ259" s="13"/>
      <c r="AR259" s="13"/>
    </row>
    <row r="260" spans="15:44" x14ac:dyDescent="0.2">
      <c r="O260" s="1"/>
      <c r="P260" s="1"/>
      <c r="Q260" s="1"/>
      <c r="R260" s="1"/>
      <c r="S260" s="13"/>
      <c r="T260" s="13"/>
      <c r="U260" s="13"/>
      <c r="V260" s="13"/>
      <c r="W260" s="13"/>
      <c r="X260" s="13"/>
      <c r="Y260" s="13"/>
      <c r="Z260" s="13"/>
      <c r="AA260" s="13"/>
      <c r="AB260" s="13"/>
      <c r="AC260" s="13"/>
      <c r="AD260" s="13"/>
      <c r="AE260" s="13"/>
      <c r="AF260" s="13"/>
      <c r="AG260" s="13"/>
      <c r="AH260" s="13"/>
      <c r="AI260" s="13"/>
      <c r="AJ260" s="13"/>
      <c r="AK260" s="13"/>
      <c r="AL260" s="13"/>
      <c r="AM260" s="13"/>
      <c r="AN260" s="13"/>
      <c r="AO260" s="13"/>
      <c r="AP260" s="13"/>
      <c r="AQ260" s="13"/>
      <c r="AR260" s="13"/>
    </row>
    <row r="261" spans="15:44" x14ac:dyDescent="0.2">
      <c r="O261" s="1"/>
      <c r="P261" s="1"/>
      <c r="Q261" s="1"/>
      <c r="R261" s="1"/>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AQ261" s="13"/>
      <c r="AR261" s="13"/>
    </row>
    <row r="262" spans="15:44" x14ac:dyDescent="0.2">
      <c r="O262" s="1"/>
      <c r="P262" s="1"/>
      <c r="Q262" s="1"/>
      <c r="R262" s="1"/>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AQ262" s="13"/>
      <c r="AR262" s="13"/>
    </row>
    <row r="263" spans="15:44" x14ac:dyDescent="0.2">
      <c r="O263" s="1"/>
      <c r="P263" s="1"/>
      <c r="Q263" s="1"/>
      <c r="R263" s="1"/>
      <c r="S263" s="13"/>
      <c r="T263" s="13"/>
      <c r="U263" s="13"/>
      <c r="V263" s="13"/>
      <c r="W263" s="13"/>
      <c r="X263" s="13"/>
      <c r="Y263" s="13"/>
      <c r="Z263" s="13"/>
      <c r="AA263" s="13"/>
      <c r="AB263" s="13"/>
      <c r="AC263" s="13"/>
      <c r="AD263" s="13"/>
      <c r="AE263" s="13"/>
      <c r="AF263" s="13"/>
      <c r="AG263" s="13"/>
      <c r="AH263" s="13"/>
      <c r="AI263" s="13"/>
      <c r="AJ263" s="13"/>
      <c r="AK263" s="13"/>
      <c r="AL263" s="13"/>
      <c r="AM263" s="13"/>
      <c r="AN263" s="13"/>
      <c r="AO263" s="13"/>
      <c r="AP263" s="13"/>
      <c r="AQ263" s="13"/>
      <c r="AR263" s="13"/>
    </row>
    <row r="264" spans="15:44" x14ac:dyDescent="0.2">
      <c r="O264" s="1"/>
      <c r="P264" s="1"/>
      <c r="Q264" s="1"/>
      <c r="R264" s="1"/>
      <c r="S264" s="13"/>
      <c r="T264" s="13"/>
      <c r="U264" s="13"/>
      <c r="V264" s="13"/>
      <c r="W264" s="13"/>
      <c r="X264" s="13"/>
      <c r="Y264" s="13"/>
      <c r="Z264" s="13"/>
      <c r="AA264" s="13"/>
      <c r="AB264" s="13"/>
      <c r="AC264" s="13"/>
      <c r="AD264" s="13"/>
      <c r="AE264" s="13"/>
      <c r="AF264" s="13"/>
      <c r="AG264" s="13"/>
      <c r="AH264" s="13"/>
      <c r="AI264" s="13"/>
      <c r="AJ264" s="13"/>
      <c r="AK264" s="13"/>
      <c r="AL264" s="13"/>
      <c r="AM264" s="13"/>
      <c r="AN264" s="13"/>
      <c r="AO264" s="13"/>
      <c r="AP264" s="13"/>
      <c r="AQ264" s="13"/>
      <c r="AR264" s="13"/>
    </row>
    <row r="265" spans="15:44" x14ac:dyDescent="0.2">
      <c r="O265" s="1"/>
      <c r="P265" s="1"/>
      <c r="Q265" s="1"/>
      <c r="R265" s="1"/>
      <c r="S265" s="13"/>
      <c r="T265" s="13"/>
      <c r="U265" s="13"/>
      <c r="V265" s="13"/>
      <c r="W265" s="13"/>
      <c r="X265" s="13"/>
      <c r="Y265" s="13"/>
      <c r="Z265" s="13"/>
      <c r="AA265" s="13"/>
      <c r="AB265" s="13"/>
      <c r="AC265" s="13"/>
      <c r="AD265" s="13"/>
      <c r="AE265" s="13"/>
      <c r="AF265" s="13"/>
      <c r="AG265" s="13"/>
      <c r="AH265" s="13"/>
      <c r="AI265" s="13"/>
      <c r="AJ265" s="13"/>
      <c r="AK265" s="13"/>
      <c r="AL265" s="13"/>
      <c r="AM265" s="13"/>
      <c r="AN265" s="13"/>
      <c r="AO265" s="13"/>
      <c r="AP265" s="13"/>
      <c r="AQ265" s="13"/>
      <c r="AR265" s="13"/>
    </row>
    <row r="266" spans="15:44" x14ac:dyDescent="0.2">
      <c r="O266" s="1"/>
      <c r="P266" s="1"/>
      <c r="Q266" s="1"/>
      <c r="R266" s="1"/>
      <c r="S266" s="13"/>
      <c r="T266" s="13"/>
      <c r="U266" s="13"/>
      <c r="V266" s="13"/>
      <c r="W266" s="13"/>
      <c r="X266" s="13"/>
      <c r="Y266" s="13"/>
      <c r="Z266" s="13"/>
      <c r="AA266" s="13"/>
      <c r="AB266" s="13"/>
      <c r="AC266" s="13"/>
      <c r="AD266" s="13"/>
      <c r="AE266" s="13"/>
      <c r="AF266" s="13"/>
      <c r="AG266" s="13"/>
      <c r="AH266" s="13"/>
      <c r="AI266" s="13"/>
      <c r="AJ266" s="13"/>
      <c r="AK266" s="13"/>
      <c r="AL266" s="13"/>
      <c r="AM266" s="13"/>
      <c r="AN266" s="13"/>
      <c r="AO266" s="13"/>
      <c r="AP266" s="13"/>
      <c r="AQ266" s="13"/>
      <c r="AR266" s="13"/>
    </row>
    <row r="267" spans="15:44" x14ac:dyDescent="0.2">
      <c r="O267" s="1"/>
      <c r="P267" s="1"/>
      <c r="Q267" s="1"/>
      <c r="R267" s="1"/>
      <c r="S267" s="13"/>
      <c r="T267" s="13"/>
      <c r="U267" s="13"/>
      <c r="V267" s="13"/>
      <c r="W267" s="13"/>
      <c r="X267" s="13"/>
      <c r="Y267" s="13"/>
      <c r="Z267" s="13"/>
      <c r="AA267" s="13"/>
      <c r="AB267" s="13"/>
      <c r="AC267" s="13"/>
      <c r="AD267" s="13"/>
      <c r="AE267" s="13"/>
      <c r="AF267" s="13"/>
      <c r="AG267" s="13"/>
      <c r="AH267" s="13"/>
      <c r="AI267" s="13"/>
      <c r="AJ267" s="13"/>
      <c r="AK267" s="13"/>
      <c r="AL267" s="13"/>
      <c r="AM267" s="13"/>
      <c r="AN267" s="13"/>
      <c r="AO267" s="13"/>
      <c r="AP267" s="13"/>
      <c r="AQ267" s="13"/>
      <c r="AR267" s="13"/>
    </row>
    <row r="268" spans="15:44" x14ac:dyDescent="0.2">
      <c r="O268" s="1"/>
      <c r="P268" s="1"/>
      <c r="Q268" s="1"/>
      <c r="R268" s="1"/>
      <c r="S268" s="13"/>
      <c r="T268" s="13"/>
      <c r="U268" s="13"/>
      <c r="V268" s="13"/>
      <c r="W268" s="13"/>
      <c r="X268" s="13"/>
      <c r="Y268" s="13"/>
      <c r="Z268" s="13"/>
      <c r="AA268" s="13"/>
      <c r="AB268" s="13"/>
      <c r="AC268" s="13"/>
      <c r="AD268" s="13"/>
      <c r="AE268" s="13"/>
      <c r="AF268" s="13"/>
      <c r="AG268" s="13"/>
      <c r="AH268" s="13"/>
      <c r="AI268" s="13"/>
      <c r="AJ268" s="13"/>
      <c r="AK268" s="13"/>
      <c r="AL268" s="13"/>
      <c r="AM268" s="13"/>
      <c r="AN268" s="13"/>
      <c r="AO268" s="13"/>
      <c r="AP268" s="13"/>
      <c r="AQ268" s="13"/>
      <c r="AR268" s="13"/>
    </row>
    <row r="269" spans="15:44" x14ac:dyDescent="0.2">
      <c r="O269" s="1"/>
      <c r="P269" s="1"/>
      <c r="Q269" s="1"/>
      <c r="R269" s="1"/>
      <c r="S269" s="13"/>
      <c r="T269" s="13"/>
      <c r="U269" s="13"/>
      <c r="V269" s="13"/>
      <c r="W269" s="13"/>
      <c r="X269" s="13"/>
      <c r="Y269" s="13"/>
      <c r="Z269" s="13"/>
      <c r="AA269" s="13"/>
      <c r="AB269" s="13"/>
      <c r="AC269" s="13"/>
      <c r="AD269" s="13"/>
      <c r="AE269" s="13"/>
      <c r="AF269" s="13"/>
      <c r="AG269" s="13"/>
      <c r="AH269" s="13"/>
      <c r="AI269" s="13"/>
      <c r="AJ269" s="13"/>
      <c r="AK269" s="13"/>
      <c r="AL269" s="13"/>
      <c r="AM269" s="13"/>
      <c r="AN269" s="13"/>
      <c r="AO269" s="13"/>
      <c r="AP269" s="13"/>
      <c r="AQ269" s="13"/>
      <c r="AR269" s="13"/>
    </row>
    <row r="270" spans="15:44" x14ac:dyDescent="0.2">
      <c r="O270" s="1"/>
      <c r="P270" s="1"/>
      <c r="Q270" s="1"/>
      <c r="R270" s="1"/>
      <c r="S270" s="13"/>
      <c r="T270" s="13"/>
      <c r="U270" s="13"/>
      <c r="V270" s="13"/>
      <c r="W270" s="13"/>
      <c r="X270" s="13"/>
      <c r="Y270" s="13"/>
      <c r="Z270" s="13"/>
      <c r="AA270" s="13"/>
      <c r="AB270" s="13"/>
      <c r="AC270" s="13"/>
      <c r="AD270" s="13"/>
      <c r="AE270" s="13"/>
      <c r="AF270" s="13"/>
      <c r="AG270" s="13"/>
      <c r="AH270" s="13"/>
      <c r="AI270" s="13"/>
      <c r="AJ270" s="13"/>
      <c r="AK270" s="13"/>
      <c r="AL270" s="13"/>
      <c r="AM270" s="13"/>
      <c r="AN270" s="13"/>
      <c r="AO270" s="13"/>
      <c r="AP270" s="13"/>
      <c r="AQ270" s="13"/>
      <c r="AR270" s="13"/>
    </row>
    <row r="271" spans="15:44" x14ac:dyDescent="0.2">
      <c r="O271" s="1"/>
      <c r="P271" s="1"/>
      <c r="Q271" s="1"/>
      <c r="R271" s="1"/>
      <c r="S271" s="13"/>
      <c r="T271" s="13"/>
      <c r="U271" s="13"/>
      <c r="V271" s="13"/>
      <c r="W271" s="13"/>
      <c r="X271" s="13"/>
      <c r="Y271" s="13"/>
      <c r="Z271" s="13"/>
      <c r="AA271" s="13"/>
      <c r="AB271" s="13"/>
      <c r="AC271" s="13"/>
      <c r="AD271" s="13"/>
      <c r="AE271" s="13"/>
      <c r="AF271" s="13"/>
      <c r="AG271" s="13"/>
      <c r="AH271" s="13"/>
      <c r="AI271" s="13"/>
      <c r="AJ271" s="13"/>
      <c r="AK271" s="13"/>
      <c r="AL271" s="13"/>
      <c r="AM271" s="13"/>
      <c r="AN271" s="13"/>
      <c r="AO271" s="13"/>
      <c r="AP271" s="13"/>
      <c r="AQ271" s="13"/>
      <c r="AR271" s="13"/>
    </row>
    <row r="272" spans="15:44" x14ac:dyDescent="0.2">
      <c r="O272" s="1"/>
      <c r="P272" s="1"/>
      <c r="Q272" s="1"/>
      <c r="R272" s="1"/>
      <c r="S272" s="13"/>
      <c r="T272" s="13"/>
      <c r="U272" s="13"/>
      <c r="V272" s="13"/>
      <c r="W272" s="13"/>
      <c r="X272" s="13"/>
      <c r="Y272" s="13"/>
      <c r="Z272" s="13"/>
      <c r="AA272" s="13"/>
      <c r="AB272" s="13"/>
      <c r="AC272" s="13"/>
      <c r="AD272" s="13"/>
      <c r="AE272" s="13"/>
      <c r="AF272" s="13"/>
      <c r="AG272" s="13"/>
      <c r="AH272" s="13"/>
      <c r="AI272" s="13"/>
      <c r="AJ272" s="13"/>
      <c r="AK272" s="13"/>
      <c r="AL272" s="13"/>
      <c r="AM272" s="13"/>
      <c r="AN272" s="13"/>
      <c r="AO272" s="13"/>
      <c r="AP272" s="13"/>
      <c r="AQ272" s="13"/>
      <c r="AR272" s="13"/>
    </row>
    <row r="273" spans="15:44" x14ac:dyDescent="0.2">
      <c r="O273" s="1"/>
      <c r="P273" s="1"/>
      <c r="Q273" s="1"/>
      <c r="R273" s="1"/>
      <c r="S273" s="13"/>
      <c r="T273" s="13"/>
      <c r="U273" s="13"/>
      <c r="V273" s="13"/>
      <c r="W273" s="13"/>
      <c r="X273" s="13"/>
      <c r="Y273" s="13"/>
      <c r="Z273" s="13"/>
      <c r="AA273" s="13"/>
      <c r="AB273" s="13"/>
      <c r="AC273" s="13"/>
      <c r="AD273" s="13"/>
      <c r="AE273" s="13"/>
      <c r="AF273" s="13"/>
      <c r="AG273" s="13"/>
      <c r="AH273" s="13"/>
      <c r="AI273" s="13"/>
      <c r="AJ273" s="13"/>
      <c r="AK273" s="13"/>
      <c r="AL273" s="13"/>
      <c r="AM273" s="13"/>
      <c r="AN273" s="13"/>
      <c r="AO273" s="13"/>
      <c r="AP273" s="13"/>
      <c r="AQ273" s="13"/>
      <c r="AR273" s="13"/>
    </row>
    <row r="274" spans="15:44" x14ac:dyDescent="0.2">
      <c r="O274" s="1"/>
      <c r="P274" s="1"/>
      <c r="Q274" s="1"/>
      <c r="R274" s="1"/>
      <c r="S274" s="13"/>
      <c r="T274" s="13"/>
      <c r="U274" s="13"/>
      <c r="V274" s="13"/>
      <c r="W274" s="13"/>
      <c r="X274" s="13"/>
      <c r="Y274" s="13"/>
      <c r="Z274" s="13"/>
      <c r="AA274" s="13"/>
      <c r="AB274" s="13"/>
      <c r="AC274" s="13"/>
      <c r="AD274" s="13"/>
      <c r="AE274" s="13"/>
      <c r="AF274" s="13"/>
      <c r="AG274" s="13"/>
      <c r="AH274" s="13"/>
      <c r="AI274" s="13"/>
      <c r="AJ274" s="13"/>
      <c r="AK274" s="13"/>
      <c r="AL274" s="13"/>
      <c r="AM274" s="13"/>
      <c r="AN274" s="13"/>
      <c r="AO274" s="13"/>
      <c r="AP274" s="13"/>
      <c r="AQ274" s="13"/>
      <c r="AR274" s="13"/>
    </row>
    <row r="275" spans="15:44" x14ac:dyDescent="0.2">
      <c r="O275" s="1"/>
      <c r="P275" s="1"/>
      <c r="Q275" s="1"/>
      <c r="R275" s="1"/>
      <c r="S275" s="13"/>
      <c r="T275" s="13"/>
      <c r="U275" s="13"/>
      <c r="V275" s="13"/>
      <c r="W275" s="13"/>
      <c r="X275" s="13"/>
      <c r="Y275" s="13"/>
      <c r="Z275" s="13"/>
      <c r="AA275" s="13"/>
      <c r="AB275" s="13"/>
      <c r="AC275" s="13"/>
      <c r="AD275" s="13"/>
      <c r="AE275" s="13"/>
      <c r="AF275" s="13"/>
      <c r="AG275" s="13"/>
      <c r="AH275" s="13"/>
      <c r="AI275" s="13"/>
      <c r="AJ275" s="13"/>
      <c r="AK275" s="13"/>
      <c r="AL275" s="13"/>
      <c r="AM275" s="13"/>
      <c r="AN275" s="13"/>
      <c r="AO275" s="13"/>
      <c r="AP275" s="13"/>
      <c r="AQ275" s="13"/>
      <c r="AR275" s="13"/>
    </row>
    <row r="276" spans="15:44" x14ac:dyDescent="0.2">
      <c r="O276" s="1"/>
      <c r="P276" s="1"/>
      <c r="Q276" s="1"/>
      <c r="R276" s="1"/>
      <c r="S276" s="13"/>
      <c r="T276" s="13"/>
      <c r="U276" s="13"/>
      <c r="V276" s="13"/>
      <c r="W276" s="13"/>
      <c r="X276" s="13"/>
      <c r="Y276" s="13"/>
      <c r="Z276" s="13"/>
      <c r="AA276" s="13"/>
      <c r="AB276" s="13"/>
      <c r="AC276" s="13"/>
      <c r="AD276" s="13"/>
      <c r="AE276" s="13"/>
      <c r="AF276" s="13"/>
      <c r="AG276" s="13"/>
      <c r="AH276" s="13"/>
      <c r="AI276" s="13"/>
      <c r="AJ276" s="13"/>
      <c r="AK276" s="13"/>
      <c r="AL276" s="13"/>
      <c r="AM276" s="13"/>
      <c r="AN276" s="13"/>
      <c r="AO276" s="13"/>
      <c r="AP276" s="13"/>
      <c r="AQ276" s="13"/>
      <c r="AR276" s="13"/>
    </row>
    <row r="277" spans="15:44" x14ac:dyDescent="0.2">
      <c r="O277" s="1"/>
      <c r="P277" s="1"/>
      <c r="Q277" s="1"/>
      <c r="R277" s="1"/>
      <c r="S277" s="13"/>
      <c r="T277" s="13"/>
      <c r="U277" s="13"/>
      <c r="V277" s="13"/>
      <c r="W277" s="13"/>
      <c r="X277" s="13"/>
      <c r="Y277" s="13"/>
      <c r="Z277" s="13"/>
      <c r="AA277" s="13"/>
      <c r="AB277" s="13"/>
      <c r="AC277" s="13"/>
      <c r="AD277" s="13"/>
      <c r="AE277" s="13"/>
      <c r="AF277" s="13"/>
      <c r="AG277" s="13"/>
      <c r="AH277" s="13"/>
      <c r="AI277" s="13"/>
      <c r="AJ277" s="13"/>
      <c r="AK277" s="13"/>
      <c r="AL277" s="13"/>
      <c r="AM277" s="13"/>
      <c r="AN277" s="13"/>
      <c r="AO277" s="13"/>
      <c r="AP277" s="13"/>
      <c r="AQ277" s="13"/>
      <c r="AR277" s="13"/>
    </row>
    <row r="278" spans="15:44" x14ac:dyDescent="0.2">
      <c r="O278" s="1"/>
      <c r="P278" s="1"/>
      <c r="Q278" s="1"/>
      <c r="R278" s="1"/>
      <c r="S278" s="13"/>
      <c r="T278" s="13"/>
      <c r="U278" s="13"/>
      <c r="V278" s="13"/>
      <c r="W278" s="13"/>
      <c r="X278" s="13"/>
      <c r="Y278" s="13"/>
      <c r="Z278" s="13"/>
      <c r="AA278" s="13"/>
      <c r="AB278" s="13"/>
      <c r="AC278" s="13"/>
      <c r="AD278" s="13"/>
      <c r="AE278" s="13"/>
      <c r="AF278" s="13"/>
      <c r="AG278" s="13"/>
      <c r="AH278" s="13"/>
      <c r="AI278" s="13"/>
      <c r="AJ278" s="13"/>
      <c r="AK278" s="13"/>
      <c r="AL278" s="13"/>
      <c r="AM278" s="13"/>
      <c r="AN278" s="13"/>
      <c r="AO278" s="13"/>
      <c r="AP278" s="13"/>
      <c r="AQ278" s="13"/>
      <c r="AR278" s="13"/>
    </row>
    <row r="279" spans="15:44" x14ac:dyDescent="0.2">
      <c r="O279" s="1"/>
      <c r="P279" s="1"/>
      <c r="Q279" s="1"/>
      <c r="R279" s="1"/>
      <c r="S279" s="13"/>
      <c r="T279" s="13"/>
      <c r="U279" s="13"/>
      <c r="V279" s="13"/>
      <c r="W279" s="13"/>
      <c r="X279" s="13"/>
      <c r="Y279" s="13"/>
      <c r="Z279" s="13"/>
      <c r="AA279" s="13"/>
      <c r="AB279" s="13"/>
      <c r="AC279" s="13"/>
      <c r="AD279" s="13"/>
      <c r="AE279" s="13"/>
      <c r="AF279" s="13"/>
      <c r="AG279" s="13"/>
      <c r="AH279" s="13"/>
      <c r="AI279" s="13"/>
      <c r="AJ279" s="13"/>
      <c r="AK279" s="13"/>
      <c r="AL279" s="13"/>
      <c r="AM279" s="13"/>
      <c r="AN279" s="13"/>
      <c r="AO279" s="13"/>
      <c r="AP279" s="13"/>
      <c r="AQ279" s="13"/>
      <c r="AR279" s="13"/>
    </row>
    <row r="280" spans="15:44" x14ac:dyDescent="0.2">
      <c r="O280" s="1"/>
      <c r="P280" s="1"/>
      <c r="Q280" s="1"/>
      <c r="R280" s="1"/>
      <c r="S280" s="13"/>
      <c r="T280" s="13"/>
      <c r="U280" s="13"/>
      <c r="V280" s="13"/>
      <c r="W280" s="13"/>
      <c r="X280" s="13"/>
      <c r="Y280" s="13"/>
      <c r="Z280" s="13"/>
      <c r="AA280" s="13"/>
      <c r="AB280" s="13"/>
      <c r="AC280" s="13"/>
      <c r="AD280" s="13"/>
      <c r="AE280" s="13"/>
      <c r="AF280" s="13"/>
      <c r="AG280" s="13"/>
      <c r="AH280" s="13"/>
      <c r="AI280" s="13"/>
      <c r="AJ280" s="13"/>
      <c r="AK280" s="13"/>
      <c r="AL280" s="13"/>
      <c r="AM280" s="13"/>
      <c r="AN280" s="13"/>
      <c r="AO280" s="13"/>
      <c r="AP280" s="13"/>
      <c r="AQ280" s="13"/>
      <c r="AR280" s="13"/>
    </row>
    <row r="281" spans="15:44" x14ac:dyDescent="0.2">
      <c r="O281" s="1"/>
      <c r="P281" s="1"/>
      <c r="Q281" s="1"/>
      <c r="R281" s="1"/>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AQ281" s="13"/>
      <c r="AR281" s="13"/>
    </row>
    <row r="282" spans="15:44" x14ac:dyDescent="0.2">
      <c r="O282" s="1"/>
      <c r="P282" s="1"/>
      <c r="Q282" s="1"/>
      <c r="R282" s="1"/>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AQ282" s="13"/>
      <c r="AR282" s="13"/>
    </row>
    <row r="283" spans="15:44" x14ac:dyDescent="0.2">
      <c r="O283" s="1"/>
      <c r="P283" s="1"/>
      <c r="Q283" s="1"/>
      <c r="R283" s="1"/>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row>
    <row r="284" spans="15:44" x14ac:dyDescent="0.2">
      <c r="O284" s="1"/>
      <c r="P284" s="1"/>
      <c r="Q284" s="1"/>
      <c r="R284" s="1"/>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row>
    <row r="285" spans="15:44" x14ac:dyDescent="0.2">
      <c r="O285" s="1"/>
      <c r="P285" s="1"/>
      <c r="Q285" s="1"/>
      <c r="R285" s="1"/>
      <c r="S285" s="13"/>
      <c r="T285" s="13"/>
      <c r="U285" s="13"/>
      <c r="V285" s="13"/>
      <c r="W285" s="13"/>
      <c r="X285" s="13"/>
      <c r="Y285" s="13"/>
      <c r="Z285" s="13"/>
      <c r="AA285" s="13"/>
      <c r="AB285" s="13"/>
      <c r="AC285" s="13"/>
      <c r="AD285" s="13"/>
      <c r="AE285" s="13"/>
      <c r="AF285" s="13"/>
      <c r="AG285" s="13"/>
      <c r="AH285" s="13"/>
      <c r="AI285" s="13"/>
      <c r="AJ285" s="13"/>
      <c r="AK285" s="13"/>
      <c r="AL285" s="13"/>
      <c r="AM285" s="13"/>
      <c r="AN285" s="13"/>
      <c r="AO285" s="13"/>
      <c r="AP285" s="13"/>
      <c r="AQ285" s="13"/>
      <c r="AR285" s="13"/>
    </row>
    <row r="286" spans="15:44" x14ac:dyDescent="0.2">
      <c r="O286" s="1"/>
      <c r="P286" s="1"/>
      <c r="Q286" s="1"/>
      <c r="R286" s="1"/>
      <c r="S286" s="13"/>
      <c r="T286" s="13"/>
      <c r="U286" s="13"/>
      <c r="V286" s="13"/>
      <c r="W286" s="13"/>
      <c r="X286" s="13"/>
      <c r="Y286" s="13"/>
      <c r="Z286" s="13"/>
      <c r="AA286" s="13"/>
      <c r="AB286" s="13"/>
      <c r="AC286" s="13"/>
      <c r="AD286" s="13"/>
      <c r="AE286" s="13"/>
      <c r="AF286" s="13"/>
      <c r="AG286" s="13"/>
      <c r="AH286" s="13"/>
      <c r="AI286" s="13"/>
      <c r="AJ286" s="13"/>
      <c r="AK286" s="13"/>
      <c r="AL286" s="13"/>
      <c r="AM286" s="13"/>
      <c r="AN286" s="13"/>
      <c r="AO286" s="13"/>
      <c r="AP286" s="13"/>
      <c r="AQ286" s="13"/>
      <c r="AR286" s="13"/>
    </row>
    <row r="287" spans="15:44" x14ac:dyDescent="0.2">
      <c r="O287" s="1"/>
      <c r="P287" s="1"/>
      <c r="Q287" s="1"/>
      <c r="R287" s="1"/>
      <c r="S287" s="13"/>
      <c r="T287" s="13"/>
      <c r="U287" s="13"/>
      <c r="V287" s="13"/>
      <c r="W287" s="13"/>
      <c r="X287" s="13"/>
      <c r="Y287" s="13"/>
      <c r="Z287" s="13"/>
      <c r="AA287" s="13"/>
      <c r="AB287" s="13"/>
      <c r="AC287" s="13"/>
      <c r="AD287" s="13"/>
      <c r="AE287" s="13"/>
      <c r="AF287" s="13"/>
      <c r="AG287" s="13"/>
      <c r="AH287" s="13"/>
      <c r="AI287" s="13"/>
      <c r="AJ287" s="13"/>
      <c r="AK287" s="13"/>
      <c r="AL287" s="13"/>
      <c r="AM287" s="13"/>
      <c r="AN287" s="13"/>
      <c r="AO287" s="13"/>
      <c r="AP287" s="13"/>
      <c r="AQ287" s="13"/>
      <c r="AR287" s="13"/>
    </row>
    <row r="288" spans="15:44" x14ac:dyDescent="0.2">
      <c r="O288" s="1"/>
      <c r="P288" s="1"/>
      <c r="Q288" s="1"/>
      <c r="R288" s="1"/>
      <c r="S288" s="13"/>
      <c r="T288" s="13"/>
      <c r="U288" s="13"/>
      <c r="V288" s="13"/>
      <c r="W288" s="13"/>
      <c r="X288" s="13"/>
      <c r="Y288" s="13"/>
      <c r="Z288" s="13"/>
      <c r="AA288" s="13"/>
      <c r="AB288" s="13"/>
      <c r="AC288" s="13"/>
      <c r="AD288" s="13"/>
      <c r="AE288" s="13"/>
      <c r="AF288" s="13"/>
      <c r="AG288" s="13"/>
      <c r="AH288" s="13"/>
      <c r="AI288" s="13"/>
      <c r="AJ288" s="13"/>
      <c r="AK288" s="13"/>
      <c r="AL288" s="13"/>
      <c r="AM288" s="13"/>
      <c r="AN288" s="13"/>
      <c r="AO288" s="13"/>
      <c r="AP288" s="13"/>
      <c r="AQ288" s="13"/>
      <c r="AR288" s="13"/>
    </row>
    <row r="289" spans="15:44" x14ac:dyDescent="0.2">
      <c r="O289" s="1"/>
      <c r="P289" s="1"/>
      <c r="Q289" s="1"/>
      <c r="R289" s="1"/>
      <c r="S289" s="13"/>
      <c r="T289" s="13"/>
      <c r="U289" s="13"/>
      <c r="V289" s="13"/>
      <c r="W289" s="13"/>
      <c r="X289" s="13"/>
      <c r="Y289" s="13"/>
      <c r="Z289" s="13"/>
      <c r="AA289" s="13"/>
      <c r="AB289" s="13"/>
      <c r="AC289" s="13"/>
      <c r="AD289" s="13"/>
      <c r="AE289" s="13"/>
      <c r="AF289" s="13"/>
      <c r="AG289" s="13"/>
      <c r="AH289" s="13"/>
      <c r="AI289" s="13"/>
      <c r="AJ289" s="13"/>
      <c r="AK289" s="13"/>
      <c r="AL289" s="13"/>
      <c r="AM289" s="13"/>
      <c r="AN289" s="13"/>
      <c r="AO289" s="13"/>
      <c r="AP289" s="13"/>
      <c r="AQ289" s="13"/>
      <c r="AR289" s="13"/>
    </row>
    <row r="290" spans="15:44" x14ac:dyDescent="0.2">
      <c r="O290" s="1"/>
      <c r="P290" s="1"/>
      <c r="Q290" s="1"/>
      <c r="R290" s="1"/>
      <c r="S290" s="13"/>
      <c r="T290" s="13"/>
      <c r="U290" s="13"/>
      <c r="V290" s="13"/>
      <c r="W290" s="13"/>
      <c r="X290" s="13"/>
      <c r="Y290" s="13"/>
      <c r="Z290" s="13"/>
      <c r="AA290" s="13"/>
      <c r="AB290" s="13"/>
      <c r="AC290" s="13"/>
      <c r="AD290" s="13"/>
      <c r="AE290" s="13"/>
      <c r="AF290" s="13"/>
      <c r="AG290" s="13"/>
      <c r="AH290" s="13"/>
      <c r="AI290" s="13"/>
      <c r="AJ290" s="13"/>
      <c r="AK290" s="13"/>
      <c r="AL290" s="13"/>
      <c r="AM290" s="13"/>
      <c r="AN290" s="13"/>
      <c r="AO290" s="13"/>
      <c r="AP290" s="13"/>
      <c r="AQ290" s="13"/>
      <c r="AR290" s="13"/>
    </row>
    <row r="291" spans="15:44" x14ac:dyDescent="0.2">
      <c r="O291" s="1"/>
      <c r="P291" s="1"/>
      <c r="Q291" s="1"/>
      <c r="R291" s="1"/>
      <c r="S291" s="13"/>
      <c r="T291" s="13"/>
      <c r="U291" s="13"/>
      <c r="V291" s="13"/>
      <c r="W291" s="13"/>
      <c r="X291" s="13"/>
      <c r="Y291" s="13"/>
      <c r="Z291" s="13"/>
      <c r="AA291" s="13"/>
      <c r="AB291" s="13"/>
      <c r="AC291" s="13"/>
      <c r="AD291" s="13"/>
      <c r="AE291" s="13"/>
      <c r="AF291" s="13"/>
      <c r="AG291" s="13"/>
      <c r="AH291" s="13"/>
      <c r="AI291" s="13"/>
      <c r="AJ291" s="13"/>
      <c r="AK291" s="13"/>
      <c r="AL291" s="13"/>
      <c r="AM291" s="13"/>
      <c r="AN291" s="13"/>
      <c r="AO291" s="13"/>
      <c r="AP291" s="13"/>
      <c r="AQ291" s="13"/>
      <c r="AR291" s="13"/>
    </row>
    <row r="292" spans="15:44" x14ac:dyDescent="0.2">
      <c r="O292" s="1"/>
      <c r="P292" s="1"/>
      <c r="Q292" s="1"/>
      <c r="R292" s="1"/>
      <c r="S292" s="13"/>
      <c r="T292" s="13"/>
      <c r="U292" s="13"/>
      <c r="V292" s="13"/>
      <c r="W292" s="13"/>
      <c r="X292" s="13"/>
      <c r="Y292" s="13"/>
      <c r="Z292" s="13"/>
      <c r="AA292" s="13"/>
      <c r="AB292" s="13"/>
      <c r="AC292" s="13"/>
      <c r="AD292" s="13"/>
      <c r="AE292" s="13"/>
      <c r="AF292" s="13"/>
      <c r="AG292" s="13"/>
      <c r="AH292" s="13"/>
      <c r="AI292" s="13"/>
      <c r="AJ292" s="13"/>
      <c r="AK292" s="13"/>
      <c r="AL292" s="13"/>
      <c r="AM292" s="13"/>
      <c r="AN292" s="13"/>
      <c r="AO292" s="13"/>
      <c r="AP292" s="13"/>
      <c r="AQ292" s="13"/>
      <c r="AR292" s="13"/>
    </row>
    <row r="293" spans="15:44" x14ac:dyDescent="0.2">
      <c r="O293" s="1"/>
      <c r="P293" s="1"/>
      <c r="Q293" s="1"/>
      <c r="R293" s="1"/>
      <c r="S293" s="13"/>
      <c r="T293" s="13"/>
      <c r="U293" s="13"/>
      <c r="V293" s="13"/>
      <c r="W293" s="13"/>
      <c r="X293" s="13"/>
      <c r="Y293" s="13"/>
      <c r="Z293" s="13"/>
      <c r="AA293" s="13"/>
      <c r="AB293" s="13"/>
      <c r="AC293" s="13"/>
      <c r="AD293" s="13"/>
      <c r="AE293" s="13"/>
      <c r="AF293" s="13"/>
      <c r="AG293" s="13"/>
      <c r="AH293" s="13"/>
      <c r="AI293" s="13"/>
      <c r="AJ293" s="13"/>
      <c r="AK293" s="13"/>
      <c r="AL293" s="13"/>
      <c r="AM293" s="13"/>
      <c r="AN293" s="13"/>
      <c r="AO293" s="13"/>
      <c r="AP293" s="13"/>
      <c r="AQ293" s="13"/>
      <c r="AR293" s="13"/>
    </row>
    <row r="294" spans="15:44" x14ac:dyDescent="0.2">
      <c r="O294" s="1"/>
      <c r="P294" s="1"/>
      <c r="Q294" s="1"/>
      <c r="R294" s="1"/>
      <c r="S294" s="13"/>
      <c r="T294" s="13"/>
      <c r="U294" s="13"/>
      <c r="V294" s="13"/>
      <c r="W294" s="13"/>
      <c r="X294" s="13"/>
      <c r="Y294" s="13"/>
      <c r="Z294" s="13"/>
      <c r="AA294" s="13"/>
      <c r="AB294" s="13"/>
      <c r="AC294" s="13"/>
      <c r="AD294" s="13"/>
      <c r="AE294" s="13"/>
      <c r="AF294" s="13"/>
      <c r="AG294" s="13"/>
      <c r="AH294" s="13"/>
      <c r="AI294" s="13"/>
      <c r="AJ294" s="13"/>
      <c r="AK294" s="13"/>
      <c r="AL294" s="13"/>
      <c r="AM294" s="13"/>
      <c r="AN294" s="13"/>
      <c r="AO294" s="13"/>
      <c r="AP294" s="13"/>
      <c r="AQ294" s="13"/>
      <c r="AR294" s="13"/>
    </row>
    <row r="295" spans="15:44" x14ac:dyDescent="0.2">
      <c r="O295" s="1"/>
      <c r="P295" s="1"/>
      <c r="Q295" s="1"/>
      <c r="R295" s="1"/>
      <c r="S295" s="13"/>
      <c r="T295" s="13"/>
      <c r="U295" s="13"/>
      <c r="V295" s="13"/>
      <c r="W295" s="13"/>
      <c r="X295" s="13"/>
      <c r="Y295" s="13"/>
      <c r="Z295" s="13"/>
      <c r="AA295" s="13"/>
      <c r="AB295" s="13"/>
      <c r="AC295" s="13"/>
      <c r="AD295" s="13"/>
      <c r="AE295" s="13"/>
      <c r="AF295" s="13"/>
      <c r="AG295" s="13"/>
      <c r="AH295" s="13"/>
      <c r="AI295" s="13"/>
      <c r="AJ295" s="13"/>
      <c r="AK295" s="13"/>
      <c r="AL295" s="13"/>
      <c r="AM295" s="13"/>
      <c r="AN295" s="13"/>
      <c r="AO295" s="13"/>
      <c r="AP295" s="13"/>
      <c r="AQ295" s="13"/>
      <c r="AR295" s="13"/>
    </row>
    <row r="296" spans="15:44" x14ac:dyDescent="0.2">
      <c r="O296" s="1"/>
      <c r="P296" s="1"/>
      <c r="Q296" s="1"/>
      <c r="R296" s="1"/>
      <c r="S296" s="13"/>
      <c r="T296" s="13"/>
      <c r="U296" s="13"/>
      <c r="V296" s="13"/>
      <c r="W296" s="13"/>
      <c r="X296" s="13"/>
      <c r="Y296" s="13"/>
      <c r="Z296" s="13"/>
      <c r="AA296" s="13"/>
      <c r="AB296" s="13"/>
      <c r="AC296" s="13"/>
      <c r="AD296" s="13"/>
      <c r="AE296" s="13"/>
      <c r="AF296" s="13"/>
      <c r="AG296" s="13"/>
      <c r="AH296" s="13"/>
      <c r="AI296" s="13"/>
      <c r="AJ296" s="13"/>
      <c r="AK296" s="13"/>
      <c r="AL296" s="13"/>
      <c r="AM296" s="13"/>
      <c r="AN296" s="13"/>
      <c r="AO296" s="13"/>
      <c r="AP296" s="13"/>
      <c r="AQ296" s="13"/>
      <c r="AR296" s="13"/>
    </row>
    <row r="297" spans="15:44" x14ac:dyDescent="0.2">
      <c r="O297" s="1"/>
      <c r="P297" s="1"/>
      <c r="Q297" s="1"/>
      <c r="R297" s="1"/>
      <c r="S297" s="13"/>
      <c r="T297" s="13"/>
      <c r="U297" s="13"/>
      <c r="V297" s="13"/>
      <c r="W297" s="13"/>
      <c r="X297" s="13"/>
      <c r="Y297" s="13"/>
      <c r="Z297" s="13"/>
      <c r="AA297" s="13"/>
      <c r="AB297" s="13"/>
      <c r="AC297" s="13"/>
      <c r="AD297" s="13"/>
      <c r="AE297" s="13"/>
      <c r="AF297" s="13"/>
      <c r="AG297" s="13"/>
      <c r="AH297" s="13"/>
      <c r="AI297" s="13"/>
      <c r="AJ297" s="13"/>
      <c r="AK297" s="13"/>
      <c r="AL297" s="13"/>
      <c r="AM297" s="13"/>
      <c r="AN297" s="13"/>
      <c r="AO297" s="13"/>
      <c r="AP297" s="13"/>
      <c r="AQ297" s="13"/>
      <c r="AR297" s="13"/>
    </row>
    <row r="298" spans="15:44" x14ac:dyDescent="0.2">
      <c r="O298" s="1"/>
      <c r="P298" s="1"/>
      <c r="Q298" s="1"/>
      <c r="R298" s="1"/>
      <c r="S298" s="13"/>
      <c r="T298" s="13"/>
      <c r="U298" s="13"/>
      <c r="V298" s="13"/>
      <c r="W298" s="13"/>
      <c r="X298" s="13"/>
      <c r="Y298" s="13"/>
      <c r="Z298" s="13"/>
      <c r="AA298" s="13"/>
      <c r="AB298" s="13"/>
      <c r="AC298" s="13"/>
      <c r="AD298" s="13"/>
      <c r="AE298" s="13"/>
      <c r="AF298" s="13"/>
      <c r="AG298" s="13"/>
      <c r="AH298" s="13"/>
      <c r="AI298" s="13"/>
      <c r="AJ298" s="13"/>
      <c r="AK298" s="13"/>
      <c r="AL298" s="13"/>
      <c r="AM298" s="13"/>
      <c r="AN298" s="13"/>
      <c r="AO298" s="13"/>
      <c r="AP298" s="13"/>
      <c r="AQ298" s="13"/>
      <c r="AR298" s="13"/>
    </row>
    <row r="299" spans="15:44" x14ac:dyDescent="0.2">
      <c r="O299" s="1"/>
      <c r="P299" s="1"/>
      <c r="Q299" s="1"/>
      <c r="R299" s="1"/>
      <c r="S299" s="13"/>
      <c r="T299" s="13"/>
      <c r="U299" s="13"/>
      <c r="V299" s="13"/>
      <c r="W299" s="13"/>
      <c r="X299" s="13"/>
      <c r="Y299" s="13"/>
      <c r="Z299" s="13"/>
      <c r="AA299" s="13"/>
      <c r="AB299" s="13"/>
      <c r="AC299" s="13"/>
      <c r="AD299" s="13"/>
      <c r="AE299" s="13"/>
      <c r="AF299" s="13"/>
      <c r="AG299" s="13"/>
      <c r="AH299" s="13"/>
      <c r="AI299" s="13"/>
      <c r="AJ299" s="13"/>
      <c r="AK299" s="13"/>
      <c r="AL299" s="13"/>
      <c r="AM299" s="13"/>
      <c r="AN299" s="13"/>
      <c r="AO299" s="13"/>
      <c r="AP299" s="13"/>
      <c r="AQ299" s="13"/>
      <c r="AR299" s="13"/>
    </row>
    <row r="300" spans="15:44" x14ac:dyDescent="0.2">
      <c r="O300" s="1"/>
      <c r="P300" s="1"/>
      <c r="Q300" s="1"/>
      <c r="R300" s="1"/>
      <c r="S300" s="13"/>
      <c r="T300" s="13"/>
      <c r="U300" s="13"/>
      <c r="V300" s="13"/>
      <c r="W300" s="13"/>
      <c r="X300" s="13"/>
      <c r="Y300" s="13"/>
      <c r="Z300" s="13"/>
      <c r="AA300" s="13"/>
      <c r="AB300" s="13"/>
      <c r="AC300" s="13"/>
      <c r="AD300" s="13"/>
      <c r="AE300" s="13"/>
      <c r="AF300" s="13"/>
      <c r="AG300" s="13"/>
      <c r="AH300" s="13"/>
      <c r="AI300" s="13"/>
      <c r="AJ300" s="13"/>
      <c r="AK300" s="13"/>
      <c r="AL300" s="13"/>
      <c r="AM300" s="13"/>
      <c r="AN300" s="13"/>
      <c r="AO300" s="13"/>
      <c r="AP300" s="13"/>
      <c r="AQ300" s="13"/>
      <c r="AR300" s="13"/>
    </row>
    <row r="301" spans="15:44" x14ac:dyDescent="0.2">
      <c r="O301" s="1"/>
      <c r="P301" s="1"/>
      <c r="Q301" s="1"/>
      <c r="R301" s="1"/>
      <c r="S301" s="13"/>
      <c r="T301" s="13"/>
      <c r="U301" s="13"/>
      <c r="V301" s="13"/>
      <c r="W301" s="13"/>
      <c r="X301" s="13"/>
      <c r="Y301" s="13"/>
      <c r="Z301" s="13"/>
      <c r="AA301" s="13"/>
      <c r="AB301" s="13"/>
      <c r="AC301" s="13"/>
      <c r="AD301" s="13"/>
      <c r="AE301" s="13"/>
      <c r="AF301" s="13"/>
      <c r="AG301" s="13"/>
      <c r="AH301" s="13"/>
      <c r="AI301" s="13"/>
      <c r="AJ301" s="13"/>
      <c r="AK301" s="13"/>
      <c r="AL301" s="13"/>
      <c r="AM301" s="13"/>
      <c r="AN301" s="13"/>
      <c r="AO301" s="13"/>
      <c r="AP301" s="13"/>
      <c r="AQ301" s="13"/>
      <c r="AR301" s="13"/>
    </row>
    <row r="302" spans="15:44" x14ac:dyDescent="0.2">
      <c r="O302" s="1"/>
      <c r="P302" s="1"/>
      <c r="Q302" s="1"/>
      <c r="R302" s="1"/>
      <c r="S302" s="13"/>
      <c r="T302" s="13"/>
      <c r="U302" s="13"/>
      <c r="V302" s="13"/>
      <c r="W302" s="13"/>
      <c r="X302" s="13"/>
      <c r="Y302" s="13"/>
      <c r="Z302" s="13"/>
      <c r="AA302" s="13"/>
      <c r="AB302" s="13"/>
      <c r="AC302" s="13"/>
      <c r="AD302" s="13"/>
      <c r="AE302" s="13"/>
      <c r="AF302" s="13"/>
      <c r="AG302" s="13"/>
      <c r="AH302" s="13"/>
      <c r="AI302" s="13"/>
      <c r="AJ302" s="13"/>
      <c r="AK302" s="13"/>
      <c r="AL302" s="13"/>
      <c r="AM302" s="13"/>
      <c r="AN302" s="13"/>
      <c r="AO302" s="13"/>
      <c r="AP302" s="13"/>
      <c r="AQ302" s="13"/>
      <c r="AR302" s="13"/>
    </row>
    <row r="303" spans="15:44" x14ac:dyDescent="0.2">
      <c r="O303" s="1"/>
      <c r="P303" s="1"/>
      <c r="Q303" s="1"/>
      <c r="R303" s="1"/>
      <c r="S303" s="13"/>
      <c r="T303" s="13"/>
      <c r="U303" s="13"/>
      <c r="V303" s="13"/>
      <c r="W303" s="13"/>
      <c r="X303" s="13"/>
      <c r="Y303" s="13"/>
      <c r="Z303" s="13"/>
      <c r="AA303" s="13"/>
      <c r="AB303" s="13"/>
      <c r="AC303" s="13"/>
      <c r="AD303" s="13"/>
      <c r="AE303" s="13"/>
      <c r="AF303" s="13"/>
      <c r="AG303" s="13"/>
      <c r="AH303" s="13"/>
      <c r="AI303" s="13"/>
      <c r="AJ303" s="13"/>
      <c r="AK303" s="13"/>
      <c r="AL303" s="13"/>
      <c r="AM303" s="13"/>
      <c r="AN303" s="13"/>
      <c r="AO303" s="13"/>
      <c r="AP303" s="13"/>
      <c r="AQ303" s="13"/>
      <c r="AR303" s="13"/>
    </row>
    <row r="304" spans="15:44" x14ac:dyDescent="0.2">
      <c r="O304" s="1"/>
      <c r="P304" s="1"/>
      <c r="Q304" s="1"/>
      <c r="R304" s="1"/>
      <c r="S304" s="13"/>
      <c r="T304" s="13"/>
      <c r="U304" s="13"/>
      <c r="V304" s="13"/>
      <c r="W304" s="13"/>
      <c r="X304" s="13"/>
      <c r="Y304" s="13"/>
      <c r="Z304" s="13"/>
      <c r="AA304" s="13"/>
      <c r="AB304" s="13"/>
      <c r="AC304" s="13"/>
      <c r="AD304" s="13"/>
      <c r="AE304" s="13"/>
      <c r="AF304" s="13"/>
      <c r="AG304" s="13"/>
      <c r="AH304" s="13"/>
      <c r="AI304" s="13"/>
      <c r="AJ304" s="13"/>
      <c r="AK304" s="13"/>
      <c r="AL304" s="13"/>
      <c r="AM304" s="13"/>
      <c r="AN304" s="13"/>
      <c r="AO304" s="13"/>
      <c r="AP304" s="13"/>
      <c r="AQ304" s="13"/>
      <c r="AR304" s="13"/>
    </row>
    <row r="305" spans="15:44" x14ac:dyDescent="0.2">
      <c r="O305" s="1"/>
      <c r="P305" s="1"/>
      <c r="Q305" s="1"/>
      <c r="R305" s="1"/>
      <c r="S305" s="13"/>
      <c r="T305" s="13"/>
      <c r="U305" s="13"/>
      <c r="V305" s="13"/>
      <c r="W305" s="13"/>
      <c r="X305" s="13"/>
      <c r="Y305" s="13"/>
      <c r="Z305" s="13"/>
      <c r="AA305" s="13"/>
      <c r="AB305" s="13"/>
      <c r="AC305" s="13"/>
      <c r="AD305" s="13"/>
      <c r="AE305" s="13"/>
      <c r="AF305" s="13"/>
      <c r="AG305" s="13"/>
      <c r="AH305" s="13"/>
      <c r="AI305" s="13"/>
      <c r="AJ305" s="13"/>
      <c r="AK305" s="13"/>
      <c r="AL305" s="13"/>
      <c r="AM305" s="13"/>
      <c r="AN305" s="13"/>
      <c r="AO305" s="13"/>
      <c r="AP305" s="13"/>
      <c r="AQ305" s="13"/>
      <c r="AR305" s="13"/>
    </row>
    <row r="306" spans="15:44" x14ac:dyDescent="0.2">
      <c r="O306" s="1"/>
      <c r="P306" s="1"/>
      <c r="Q306" s="1"/>
      <c r="R306" s="1"/>
      <c r="S306" s="13"/>
      <c r="T306" s="13"/>
      <c r="U306" s="13"/>
      <c r="V306" s="13"/>
      <c r="W306" s="13"/>
      <c r="X306" s="13"/>
      <c r="Y306" s="13"/>
      <c r="Z306" s="13"/>
      <c r="AA306" s="13"/>
      <c r="AB306" s="13"/>
      <c r="AC306" s="13"/>
      <c r="AD306" s="13"/>
      <c r="AE306" s="13"/>
      <c r="AF306" s="13"/>
      <c r="AG306" s="13"/>
      <c r="AH306" s="13"/>
      <c r="AI306" s="13"/>
      <c r="AJ306" s="13"/>
      <c r="AK306" s="13"/>
      <c r="AL306" s="13"/>
      <c r="AM306" s="13"/>
      <c r="AN306" s="13"/>
      <c r="AO306" s="13"/>
      <c r="AP306" s="13"/>
      <c r="AQ306" s="13"/>
      <c r="AR306" s="13"/>
    </row>
    <row r="307" spans="15:44" x14ac:dyDescent="0.2">
      <c r="O307" s="1"/>
      <c r="P307" s="1"/>
      <c r="Q307" s="1"/>
      <c r="R307" s="1"/>
      <c r="S307" s="13"/>
      <c r="T307" s="13"/>
      <c r="U307" s="13"/>
      <c r="V307" s="13"/>
      <c r="W307" s="13"/>
      <c r="X307" s="13"/>
      <c r="Y307" s="13"/>
      <c r="Z307" s="13"/>
      <c r="AA307" s="13"/>
      <c r="AB307" s="13"/>
      <c r="AC307" s="13"/>
      <c r="AD307" s="13"/>
      <c r="AE307" s="13"/>
      <c r="AF307" s="13"/>
      <c r="AG307" s="13"/>
      <c r="AH307" s="13"/>
      <c r="AI307" s="13"/>
      <c r="AJ307" s="13"/>
      <c r="AK307" s="13"/>
      <c r="AL307" s="13"/>
      <c r="AM307" s="13"/>
      <c r="AN307" s="13"/>
      <c r="AO307" s="13"/>
      <c r="AP307" s="13"/>
      <c r="AQ307" s="13"/>
      <c r="AR307" s="13"/>
    </row>
    <row r="308" spans="15:44" x14ac:dyDescent="0.2">
      <c r="O308" s="1"/>
      <c r="P308" s="1"/>
      <c r="Q308" s="1"/>
      <c r="R308" s="1"/>
      <c r="S308" s="13"/>
      <c r="T308" s="13"/>
      <c r="U308" s="13"/>
      <c r="V308" s="13"/>
      <c r="W308" s="13"/>
      <c r="X308" s="13"/>
      <c r="Y308" s="13"/>
      <c r="Z308" s="13"/>
      <c r="AA308" s="13"/>
      <c r="AB308" s="13"/>
      <c r="AC308" s="13"/>
      <c r="AD308" s="13"/>
      <c r="AE308" s="13"/>
      <c r="AF308" s="13"/>
      <c r="AG308" s="13"/>
      <c r="AH308" s="13"/>
      <c r="AI308" s="13"/>
      <c r="AJ308" s="13"/>
      <c r="AK308" s="13"/>
      <c r="AL308" s="13"/>
      <c r="AM308" s="13"/>
      <c r="AN308" s="13"/>
      <c r="AO308" s="13"/>
      <c r="AP308" s="13"/>
      <c r="AQ308" s="13"/>
      <c r="AR308" s="13"/>
    </row>
    <row r="309" spans="15:44" x14ac:dyDescent="0.2">
      <c r="O309" s="1"/>
      <c r="P309" s="1"/>
      <c r="Q309" s="1"/>
      <c r="R309" s="1"/>
      <c r="S309" s="13"/>
      <c r="T309" s="13"/>
      <c r="U309" s="13"/>
      <c r="V309" s="13"/>
      <c r="W309" s="13"/>
      <c r="X309" s="13"/>
      <c r="Y309" s="13"/>
      <c r="Z309" s="13"/>
      <c r="AA309" s="13"/>
      <c r="AB309" s="13"/>
      <c r="AC309" s="13"/>
      <c r="AD309" s="13"/>
      <c r="AE309" s="13"/>
      <c r="AF309" s="13"/>
      <c r="AG309" s="13"/>
      <c r="AH309" s="13"/>
      <c r="AI309" s="13"/>
      <c r="AJ309" s="13"/>
      <c r="AK309" s="13"/>
      <c r="AL309" s="13"/>
      <c r="AM309" s="13"/>
      <c r="AN309" s="13"/>
      <c r="AO309" s="13"/>
      <c r="AP309" s="13"/>
      <c r="AQ309" s="13"/>
      <c r="AR309" s="13"/>
    </row>
    <row r="310" spans="15:44" x14ac:dyDescent="0.2">
      <c r="O310" s="1"/>
      <c r="P310" s="1"/>
      <c r="Q310" s="1"/>
      <c r="R310" s="1"/>
      <c r="S310" s="13"/>
      <c r="T310" s="13"/>
      <c r="U310" s="13"/>
      <c r="V310" s="13"/>
      <c r="W310" s="13"/>
      <c r="X310" s="13"/>
      <c r="Y310" s="13"/>
      <c r="Z310" s="13"/>
      <c r="AA310" s="13"/>
      <c r="AB310" s="13"/>
      <c r="AC310" s="13"/>
      <c r="AD310" s="13"/>
      <c r="AE310" s="13"/>
      <c r="AF310" s="13"/>
      <c r="AG310" s="13"/>
      <c r="AH310" s="13"/>
      <c r="AI310" s="13"/>
      <c r="AJ310" s="13"/>
      <c r="AK310" s="13"/>
      <c r="AL310" s="13"/>
      <c r="AM310" s="13"/>
      <c r="AN310" s="13"/>
      <c r="AO310" s="13"/>
      <c r="AP310" s="13"/>
      <c r="AQ310" s="13"/>
      <c r="AR310" s="13"/>
    </row>
    <row r="311" spans="15:44" x14ac:dyDescent="0.2">
      <c r="O311" s="1"/>
      <c r="P311" s="1"/>
      <c r="Q311" s="1"/>
      <c r="R311" s="1"/>
      <c r="S311" s="13"/>
      <c r="T311" s="13"/>
      <c r="U311" s="13"/>
      <c r="V311" s="13"/>
      <c r="W311" s="13"/>
      <c r="X311" s="13"/>
      <c r="Y311" s="13"/>
      <c r="Z311" s="13"/>
      <c r="AA311" s="13"/>
      <c r="AB311" s="13"/>
      <c r="AC311" s="13"/>
      <c r="AD311" s="13"/>
      <c r="AE311" s="13"/>
      <c r="AF311" s="13"/>
      <c r="AG311" s="13"/>
      <c r="AH311" s="13"/>
      <c r="AI311" s="13"/>
      <c r="AJ311" s="13"/>
      <c r="AK311" s="13"/>
      <c r="AL311" s="13"/>
      <c r="AM311" s="13"/>
      <c r="AN311" s="13"/>
      <c r="AO311" s="13"/>
      <c r="AP311" s="13"/>
      <c r="AQ311" s="13"/>
      <c r="AR311" s="13"/>
    </row>
    <row r="312" spans="15:44" x14ac:dyDescent="0.2">
      <c r="O312" s="1"/>
      <c r="P312" s="1"/>
      <c r="Q312" s="1"/>
      <c r="R312" s="1"/>
      <c r="S312" s="13"/>
      <c r="T312" s="13"/>
      <c r="U312" s="13"/>
      <c r="V312" s="13"/>
      <c r="W312" s="13"/>
      <c r="X312" s="13"/>
      <c r="Y312" s="13"/>
      <c r="Z312" s="13"/>
      <c r="AA312" s="13"/>
      <c r="AB312" s="13"/>
      <c r="AC312" s="13"/>
      <c r="AD312" s="13"/>
      <c r="AE312" s="13"/>
      <c r="AF312" s="13"/>
      <c r="AG312" s="13"/>
      <c r="AH312" s="13"/>
      <c r="AI312" s="13"/>
      <c r="AJ312" s="13"/>
      <c r="AK312" s="13"/>
      <c r="AL312" s="13"/>
      <c r="AM312" s="13"/>
      <c r="AN312" s="13"/>
      <c r="AO312" s="13"/>
      <c r="AP312" s="13"/>
      <c r="AQ312" s="13"/>
      <c r="AR312" s="13"/>
    </row>
    <row r="313" spans="15:44" x14ac:dyDescent="0.2">
      <c r="O313" s="1"/>
      <c r="P313" s="1"/>
      <c r="Q313" s="1"/>
      <c r="R313" s="1"/>
      <c r="S313" s="13"/>
      <c r="T313" s="13"/>
      <c r="U313" s="13"/>
      <c r="V313" s="13"/>
      <c r="W313" s="13"/>
      <c r="X313" s="13"/>
      <c r="Y313" s="13"/>
      <c r="Z313" s="13"/>
      <c r="AA313" s="13"/>
      <c r="AB313" s="13"/>
      <c r="AC313" s="13"/>
      <c r="AD313" s="13"/>
      <c r="AE313" s="13"/>
      <c r="AF313" s="13"/>
      <c r="AG313" s="13"/>
      <c r="AH313" s="13"/>
      <c r="AI313" s="13"/>
      <c r="AJ313" s="13"/>
      <c r="AK313" s="13"/>
      <c r="AL313" s="13"/>
      <c r="AM313" s="13"/>
      <c r="AN313" s="13"/>
      <c r="AO313" s="13"/>
      <c r="AP313" s="13"/>
      <c r="AQ313" s="13"/>
      <c r="AR313" s="13"/>
    </row>
    <row r="314" spans="15:44" x14ac:dyDescent="0.2">
      <c r="O314" s="1"/>
      <c r="P314" s="1"/>
      <c r="Q314" s="1"/>
      <c r="R314" s="1"/>
      <c r="S314" s="13"/>
      <c r="T314" s="13"/>
      <c r="U314" s="13"/>
      <c r="V314" s="13"/>
      <c r="W314" s="13"/>
      <c r="X314" s="13"/>
      <c r="Y314" s="13"/>
      <c r="Z314" s="13"/>
      <c r="AA314" s="13"/>
      <c r="AB314" s="13"/>
      <c r="AC314" s="13"/>
      <c r="AD314" s="13"/>
      <c r="AE314" s="13"/>
      <c r="AF314" s="13"/>
      <c r="AG314" s="13"/>
      <c r="AH314" s="13"/>
      <c r="AI314" s="13"/>
      <c r="AJ314" s="13"/>
      <c r="AK314" s="13"/>
      <c r="AL314" s="13"/>
      <c r="AM314" s="13"/>
      <c r="AN314" s="13"/>
      <c r="AO314" s="13"/>
      <c r="AP314" s="13"/>
      <c r="AQ314" s="13"/>
      <c r="AR314" s="13"/>
    </row>
    <row r="315" spans="15:44" x14ac:dyDescent="0.2">
      <c r="O315" s="1"/>
      <c r="P315" s="1"/>
      <c r="Q315" s="1"/>
      <c r="R315" s="1"/>
      <c r="S315" s="13"/>
      <c r="T315" s="13"/>
      <c r="U315" s="13"/>
      <c r="V315" s="13"/>
      <c r="W315" s="13"/>
      <c r="X315" s="13"/>
      <c r="Y315" s="13"/>
      <c r="Z315" s="13"/>
      <c r="AA315" s="13"/>
      <c r="AB315" s="13"/>
      <c r="AC315" s="13"/>
      <c r="AD315" s="13"/>
      <c r="AE315" s="13"/>
      <c r="AF315" s="13"/>
      <c r="AG315" s="13"/>
      <c r="AH315" s="13"/>
      <c r="AI315" s="13"/>
      <c r="AJ315" s="13"/>
      <c r="AK315" s="13"/>
      <c r="AL315" s="13"/>
      <c r="AM315" s="13"/>
      <c r="AN315" s="13"/>
      <c r="AO315" s="13"/>
      <c r="AP315" s="13"/>
      <c r="AQ315" s="13"/>
      <c r="AR315" s="13"/>
    </row>
    <row r="316" spans="15:44" x14ac:dyDescent="0.2">
      <c r="O316" s="1"/>
      <c r="P316" s="1"/>
      <c r="Q316" s="1"/>
      <c r="R316" s="1"/>
      <c r="S316" s="13"/>
      <c r="T316" s="13"/>
      <c r="U316" s="13"/>
      <c r="V316" s="13"/>
      <c r="W316" s="13"/>
      <c r="X316" s="13"/>
      <c r="Y316" s="13"/>
      <c r="Z316" s="13"/>
      <c r="AA316" s="13"/>
      <c r="AB316" s="13"/>
      <c r="AC316" s="13"/>
      <c r="AD316" s="13"/>
      <c r="AE316" s="13"/>
      <c r="AF316" s="13"/>
      <c r="AG316" s="13"/>
      <c r="AH316" s="13"/>
      <c r="AI316" s="13"/>
      <c r="AJ316" s="13"/>
      <c r="AK316" s="13"/>
      <c r="AL316" s="13"/>
      <c r="AM316" s="13"/>
      <c r="AN316" s="13"/>
      <c r="AO316" s="13"/>
      <c r="AP316" s="13"/>
      <c r="AQ316" s="13"/>
      <c r="AR316" s="13"/>
    </row>
    <row r="317" spans="15:44" x14ac:dyDescent="0.2">
      <c r="O317" s="1"/>
      <c r="P317" s="1"/>
      <c r="Q317" s="1"/>
      <c r="R317" s="1"/>
      <c r="S317" s="13"/>
      <c r="T317" s="13"/>
      <c r="U317" s="13"/>
      <c r="V317" s="13"/>
      <c r="W317" s="13"/>
      <c r="X317" s="13"/>
      <c r="Y317" s="13"/>
      <c r="Z317" s="13"/>
      <c r="AA317" s="13"/>
      <c r="AB317" s="13"/>
      <c r="AC317" s="13"/>
      <c r="AD317" s="13"/>
      <c r="AE317" s="13"/>
      <c r="AF317" s="13"/>
      <c r="AG317" s="13"/>
      <c r="AH317" s="13"/>
      <c r="AI317" s="13"/>
      <c r="AJ317" s="13"/>
      <c r="AK317" s="13"/>
      <c r="AL317" s="13"/>
      <c r="AM317" s="13"/>
      <c r="AN317" s="13"/>
      <c r="AO317" s="13"/>
      <c r="AP317" s="13"/>
      <c r="AQ317" s="13"/>
      <c r="AR317" s="13"/>
    </row>
    <row r="318" spans="15:44" x14ac:dyDescent="0.2">
      <c r="O318" s="1"/>
      <c r="P318" s="1"/>
      <c r="Q318" s="1"/>
      <c r="R318" s="1"/>
      <c r="S318" s="13"/>
      <c r="T318" s="13"/>
      <c r="U318" s="13"/>
      <c r="V318" s="13"/>
      <c r="W318" s="13"/>
      <c r="X318" s="13"/>
      <c r="Y318" s="13"/>
      <c r="Z318" s="13"/>
      <c r="AA318" s="13"/>
      <c r="AB318" s="13"/>
      <c r="AC318" s="13"/>
      <c r="AD318" s="13"/>
      <c r="AE318" s="13"/>
      <c r="AF318" s="13"/>
      <c r="AG318" s="13"/>
      <c r="AH318" s="13"/>
      <c r="AI318" s="13"/>
      <c r="AJ318" s="13"/>
      <c r="AK318" s="13"/>
      <c r="AL318" s="13"/>
      <c r="AM318" s="13"/>
      <c r="AN318" s="13"/>
      <c r="AO318" s="13"/>
      <c r="AP318" s="13"/>
      <c r="AQ318" s="13"/>
      <c r="AR318" s="13"/>
    </row>
    <row r="319" spans="15:44" x14ac:dyDescent="0.2">
      <c r="O319" s="1"/>
      <c r="P319" s="1"/>
      <c r="Q319" s="1"/>
      <c r="R319" s="1"/>
      <c r="S319" s="13"/>
      <c r="T319" s="13"/>
      <c r="U319" s="13"/>
      <c r="V319" s="13"/>
      <c r="W319" s="13"/>
      <c r="X319" s="13"/>
      <c r="Y319" s="13"/>
      <c r="Z319" s="13"/>
      <c r="AA319" s="13"/>
      <c r="AB319" s="13"/>
      <c r="AC319" s="13"/>
      <c r="AD319" s="13"/>
      <c r="AE319" s="13"/>
      <c r="AF319" s="13"/>
      <c r="AG319" s="13"/>
      <c r="AH319" s="13"/>
      <c r="AI319" s="13"/>
      <c r="AJ319" s="13"/>
      <c r="AK319" s="13"/>
      <c r="AL319" s="13"/>
      <c r="AM319" s="13"/>
      <c r="AN319" s="13"/>
      <c r="AO319" s="13"/>
      <c r="AP319" s="13"/>
      <c r="AQ319" s="13"/>
      <c r="AR319" s="13"/>
    </row>
    <row r="320" spans="15:44" x14ac:dyDescent="0.2">
      <c r="O320" s="1"/>
      <c r="P320" s="1"/>
      <c r="Q320" s="1"/>
      <c r="R320" s="1"/>
      <c r="S320" s="13"/>
      <c r="T320" s="13"/>
      <c r="U320" s="13"/>
      <c r="V320" s="13"/>
      <c r="W320" s="13"/>
      <c r="X320" s="13"/>
      <c r="Y320" s="13"/>
      <c r="Z320" s="13"/>
      <c r="AA320" s="13"/>
      <c r="AB320" s="13"/>
      <c r="AC320" s="13"/>
      <c r="AD320" s="13"/>
      <c r="AE320" s="13"/>
      <c r="AF320" s="13"/>
      <c r="AG320" s="13"/>
      <c r="AH320" s="13"/>
      <c r="AI320" s="13"/>
      <c r="AJ320" s="13"/>
      <c r="AK320" s="13"/>
      <c r="AL320" s="13"/>
      <c r="AM320" s="13"/>
      <c r="AN320" s="13"/>
      <c r="AO320" s="13"/>
      <c r="AP320" s="13"/>
      <c r="AQ320" s="13"/>
      <c r="AR320" s="13"/>
    </row>
    <row r="321" spans="15:44" x14ac:dyDescent="0.2">
      <c r="O321" s="1"/>
      <c r="P321" s="1"/>
      <c r="Q321" s="1"/>
      <c r="R321" s="1"/>
      <c r="S321" s="13"/>
      <c r="T321" s="13"/>
      <c r="U321" s="13"/>
      <c r="V321" s="13"/>
      <c r="W321" s="13"/>
      <c r="X321" s="13"/>
      <c r="Y321" s="13"/>
      <c r="Z321" s="13"/>
      <c r="AA321" s="13"/>
      <c r="AB321" s="13"/>
      <c r="AC321" s="13"/>
      <c r="AD321" s="13"/>
      <c r="AE321" s="13"/>
      <c r="AF321" s="13"/>
      <c r="AG321" s="13"/>
      <c r="AH321" s="13"/>
      <c r="AI321" s="13"/>
      <c r="AJ321" s="13"/>
      <c r="AK321" s="13"/>
      <c r="AL321" s="13"/>
      <c r="AM321" s="13"/>
      <c r="AN321" s="13"/>
      <c r="AO321" s="13"/>
      <c r="AP321" s="13"/>
      <c r="AQ321" s="13"/>
      <c r="AR321" s="13"/>
    </row>
    <row r="322" spans="15:44" x14ac:dyDescent="0.2">
      <c r="O322" s="1"/>
      <c r="P322" s="1"/>
      <c r="Q322" s="1"/>
      <c r="R322" s="1"/>
      <c r="S322" s="13"/>
      <c r="T322" s="13"/>
      <c r="U322" s="13"/>
      <c r="V322" s="13"/>
      <c r="W322" s="13"/>
      <c r="X322" s="13"/>
      <c r="Y322" s="13"/>
      <c r="Z322" s="13"/>
      <c r="AA322" s="13"/>
      <c r="AB322" s="13"/>
      <c r="AC322" s="13"/>
      <c r="AD322" s="13"/>
      <c r="AE322" s="13"/>
      <c r="AF322" s="13"/>
      <c r="AG322" s="13"/>
      <c r="AH322" s="13"/>
      <c r="AI322" s="13"/>
      <c r="AJ322" s="13"/>
      <c r="AK322" s="13"/>
      <c r="AL322" s="13"/>
      <c r="AM322" s="13"/>
      <c r="AN322" s="13"/>
      <c r="AO322" s="13"/>
      <c r="AP322" s="13"/>
      <c r="AQ322" s="13"/>
      <c r="AR322" s="13"/>
    </row>
    <row r="323" spans="15:44" x14ac:dyDescent="0.2">
      <c r="O323" s="1"/>
      <c r="P323" s="1"/>
      <c r="Q323" s="1"/>
      <c r="R323" s="1"/>
      <c r="S323" s="13"/>
      <c r="T323" s="13"/>
      <c r="U323" s="13"/>
      <c r="V323" s="13"/>
      <c r="W323" s="13"/>
      <c r="X323" s="13"/>
      <c r="Y323" s="13"/>
      <c r="Z323" s="13"/>
      <c r="AA323" s="13"/>
      <c r="AB323" s="13"/>
      <c r="AC323" s="13"/>
      <c r="AD323" s="13"/>
      <c r="AE323" s="13"/>
      <c r="AF323" s="13"/>
      <c r="AG323" s="13"/>
      <c r="AH323" s="13"/>
      <c r="AI323" s="13"/>
      <c r="AJ323" s="13"/>
      <c r="AK323" s="13"/>
      <c r="AL323" s="13"/>
      <c r="AM323" s="13"/>
      <c r="AN323" s="13"/>
      <c r="AO323" s="13"/>
      <c r="AP323" s="13"/>
      <c r="AQ323" s="13"/>
      <c r="AR323" s="13"/>
    </row>
    <row r="324" spans="15:44" x14ac:dyDescent="0.2">
      <c r="O324" s="1"/>
      <c r="P324" s="1"/>
      <c r="Q324" s="1"/>
      <c r="R324" s="1"/>
      <c r="S324" s="13"/>
      <c r="T324" s="13"/>
      <c r="U324" s="13"/>
      <c r="V324" s="13"/>
      <c r="W324" s="13"/>
      <c r="X324" s="13"/>
      <c r="Y324" s="13"/>
      <c r="Z324" s="13"/>
      <c r="AA324" s="13"/>
      <c r="AB324" s="13"/>
      <c r="AC324" s="13"/>
      <c r="AD324" s="13"/>
      <c r="AE324" s="13"/>
      <c r="AF324" s="13"/>
      <c r="AG324" s="13"/>
      <c r="AH324" s="13"/>
      <c r="AI324" s="13"/>
      <c r="AJ324" s="13"/>
      <c r="AK324" s="13"/>
      <c r="AL324" s="13"/>
      <c r="AM324" s="13"/>
      <c r="AN324" s="13"/>
      <c r="AO324" s="13"/>
      <c r="AP324" s="13"/>
      <c r="AQ324" s="13"/>
      <c r="AR324" s="13"/>
    </row>
    <row r="325" spans="15:44" x14ac:dyDescent="0.2">
      <c r="O325" s="1"/>
      <c r="P325" s="1"/>
      <c r="Q325" s="1"/>
      <c r="R325" s="1"/>
      <c r="S325" s="13"/>
      <c r="T325" s="13"/>
      <c r="U325" s="13"/>
      <c r="V325" s="13"/>
      <c r="W325" s="13"/>
      <c r="X325" s="13"/>
      <c r="Y325" s="13"/>
      <c r="Z325" s="13"/>
      <c r="AA325" s="13"/>
      <c r="AB325" s="13"/>
      <c r="AC325" s="13"/>
      <c r="AD325" s="13"/>
      <c r="AE325" s="13"/>
      <c r="AF325" s="13"/>
      <c r="AG325" s="13"/>
      <c r="AH325" s="13"/>
      <c r="AI325" s="13"/>
      <c r="AJ325" s="13"/>
      <c r="AK325" s="13"/>
      <c r="AL325" s="13"/>
      <c r="AM325" s="13"/>
      <c r="AN325" s="13"/>
      <c r="AO325" s="13"/>
      <c r="AP325" s="13"/>
      <c r="AQ325" s="13"/>
      <c r="AR325" s="13"/>
    </row>
    <row r="326" spans="15:44" x14ac:dyDescent="0.2">
      <c r="O326" s="1"/>
      <c r="P326" s="1"/>
      <c r="Q326" s="1"/>
      <c r="R326" s="1"/>
      <c r="S326" s="13"/>
      <c r="T326" s="13"/>
      <c r="U326" s="13"/>
      <c r="V326" s="13"/>
      <c r="W326" s="13"/>
      <c r="X326" s="13"/>
      <c r="Y326" s="13"/>
      <c r="Z326" s="13"/>
      <c r="AA326" s="13"/>
      <c r="AB326" s="13"/>
      <c r="AC326" s="13"/>
      <c r="AD326" s="13"/>
      <c r="AE326" s="13"/>
      <c r="AF326" s="13"/>
      <c r="AG326" s="13"/>
      <c r="AH326" s="13"/>
      <c r="AI326" s="13"/>
      <c r="AJ326" s="13"/>
      <c r="AK326" s="13"/>
      <c r="AL326" s="13"/>
      <c r="AM326" s="13"/>
      <c r="AN326" s="13"/>
      <c r="AO326" s="13"/>
      <c r="AP326" s="13"/>
      <c r="AQ326" s="13"/>
      <c r="AR326" s="13"/>
    </row>
    <row r="327" spans="15:44" x14ac:dyDescent="0.2">
      <c r="O327" s="1"/>
      <c r="P327" s="1"/>
      <c r="Q327" s="1"/>
      <c r="R327" s="1"/>
      <c r="S327" s="13"/>
      <c r="T327" s="13"/>
      <c r="U327" s="13"/>
      <c r="V327" s="13"/>
      <c r="W327" s="13"/>
      <c r="X327" s="13"/>
      <c r="Y327" s="13"/>
      <c r="Z327" s="13"/>
      <c r="AA327" s="13"/>
      <c r="AB327" s="13"/>
      <c r="AC327" s="13"/>
      <c r="AD327" s="13"/>
      <c r="AE327" s="13"/>
      <c r="AF327" s="13"/>
      <c r="AG327" s="13"/>
      <c r="AH327" s="13"/>
      <c r="AI327" s="13"/>
      <c r="AJ327" s="13"/>
      <c r="AK327" s="13"/>
      <c r="AL327" s="13"/>
      <c r="AM327" s="13"/>
      <c r="AN327" s="13"/>
      <c r="AO327" s="13"/>
      <c r="AP327" s="13"/>
      <c r="AQ327" s="13"/>
      <c r="AR327" s="13"/>
    </row>
    <row r="328" spans="15:44" x14ac:dyDescent="0.2">
      <c r="O328" s="1"/>
      <c r="P328" s="1"/>
      <c r="Q328" s="1"/>
      <c r="R328" s="1"/>
      <c r="S328" s="13"/>
      <c r="T328" s="13"/>
      <c r="U328" s="13"/>
      <c r="V328" s="13"/>
      <c r="W328" s="13"/>
      <c r="X328" s="13"/>
      <c r="Y328" s="13"/>
      <c r="Z328" s="13"/>
      <c r="AA328" s="13"/>
      <c r="AB328" s="13"/>
      <c r="AC328" s="13"/>
      <c r="AD328" s="13"/>
      <c r="AE328" s="13"/>
      <c r="AF328" s="13"/>
      <c r="AG328" s="13"/>
      <c r="AH328" s="13"/>
      <c r="AI328" s="13"/>
      <c r="AJ328" s="13"/>
      <c r="AK328" s="13"/>
      <c r="AL328" s="13"/>
      <c r="AM328" s="13"/>
      <c r="AN328" s="13"/>
      <c r="AO328" s="13"/>
      <c r="AP328" s="13"/>
      <c r="AQ328" s="13"/>
      <c r="AR328" s="13"/>
    </row>
    <row r="329" spans="15:44" x14ac:dyDescent="0.2">
      <c r="O329" s="1"/>
      <c r="P329" s="1"/>
      <c r="Q329" s="1"/>
      <c r="R329" s="1"/>
      <c r="S329" s="13"/>
      <c r="T329" s="13"/>
      <c r="U329" s="13"/>
      <c r="V329" s="13"/>
      <c r="W329" s="13"/>
      <c r="X329" s="13"/>
      <c r="Y329" s="13"/>
      <c r="Z329" s="13"/>
      <c r="AA329" s="13"/>
      <c r="AB329" s="13"/>
      <c r="AC329" s="13"/>
      <c r="AD329" s="13"/>
      <c r="AE329" s="13"/>
      <c r="AF329" s="13"/>
      <c r="AG329" s="13"/>
      <c r="AH329" s="13"/>
      <c r="AI329" s="13"/>
      <c r="AJ329" s="13"/>
      <c r="AK329" s="13"/>
      <c r="AL329" s="13"/>
      <c r="AM329" s="13"/>
      <c r="AN329" s="13"/>
      <c r="AO329" s="13"/>
      <c r="AP329" s="13"/>
      <c r="AQ329" s="13"/>
      <c r="AR329" s="13"/>
    </row>
    <row r="330" spans="15:44" x14ac:dyDescent="0.2">
      <c r="O330" s="1"/>
      <c r="P330" s="1"/>
      <c r="Q330" s="1"/>
      <c r="R330" s="1"/>
      <c r="S330" s="13"/>
      <c r="T330" s="13"/>
      <c r="U330" s="13"/>
      <c r="V330" s="13"/>
      <c r="W330" s="13"/>
      <c r="X330" s="13"/>
      <c r="Y330" s="13"/>
      <c r="Z330" s="13"/>
      <c r="AA330" s="13"/>
      <c r="AB330" s="13"/>
      <c r="AC330" s="13"/>
      <c r="AD330" s="13"/>
      <c r="AE330" s="13"/>
      <c r="AF330" s="13"/>
      <c r="AG330" s="13"/>
      <c r="AH330" s="13"/>
      <c r="AI330" s="13"/>
      <c r="AJ330" s="13"/>
      <c r="AK330" s="13"/>
      <c r="AL330" s="13"/>
      <c r="AM330" s="13"/>
      <c r="AN330" s="13"/>
      <c r="AO330" s="13"/>
      <c r="AP330" s="13"/>
      <c r="AQ330" s="13"/>
      <c r="AR330" s="13"/>
    </row>
    <row r="331" spans="15:44" x14ac:dyDescent="0.2">
      <c r="O331" s="1"/>
      <c r="P331" s="1"/>
      <c r="Q331" s="1"/>
      <c r="R331" s="1"/>
      <c r="S331" s="13"/>
      <c r="T331" s="13"/>
      <c r="U331" s="13"/>
      <c r="V331" s="13"/>
      <c r="W331" s="13"/>
      <c r="X331" s="13"/>
      <c r="Y331" s="13"/>
      <c r="Z331" s="13"/>
      <c r="AA331" s="13"/>
      <c r="AB331" s="13"/>
      <c r="AC331" s="13"/>
      <c r="AD331" s="13"/>
      <c r="AE331" s="13"/>
      <c r="AF331" s="13"/>
      <c r="AG331" s="13"/>
      <c r="AH331" s="13"/>
      <c r="AI331" s="13"/>
      <c r="AJ331" s="13"/>
      <c r="AK331" s="13"/>
      <c r="AL331" s="13"/>
      <c r="AM331" s="13"/>
      <c r="AN331" s="13"/>
      <c r="AO331" s="13"/>
      <c r="AP331" s="13"/>
      <c r="AQ331" s="13"/>
      <c r="AR331" s="13"/>
    </row>
    <row r="332" spans="15:44" x14ac:dyDescent="0.2">
      <c r="O332" s="1"/>
      <c r="P332" s="1"/>
      <c r="Q332" s="1"/>
      <c r="R332" s="1"/>
      <c r="S332" s="13"/>
      <c r="T332" s="13"/>
      <c r="U332" s="13"/>
      <c r="V332" s="13"/>
      <c r="W332" s="13"/>
      <c r="X332" s="13"/>
      <c r="Y332" s="13"/>
      <c r="Z332" s="13"/>
      <c r="AA332" s="13"/>
      <c r="AB332" s="13"/>
      <c r="AC332" s="13"/>
      <c r="AD332" s="13"/>
      <c r="AE332" s="13"/>
      <c r="AF332" s="13"/>
      <c r="AG332" s="13"/>
      <c r="AH332" s="13"/>
      <c r="AI332" s="13"/>
      <c r="AJ332" s="13"/>
      <c r="AK332" s="13"/>
      <c r="AL332" s="13"/>
      <c r="AM332" s="13"/>
      <c r="AN332" s="13"/>
      <c r="AO332" s="13"/>
      <c r="AP332" s="13"/>
      <c r="AQ332" s="13"/>
      <c r="AR332" s="13"/>
    </row>
    <row r="333" spans="15:44" x14ac:dyDescent="0.2">
      <c r="O333" s="1"/>
      <c r="P333" s="1"/>
      <c r="Q333" s="1"/>
      <c r="R333" s="1"/>
      <c r="S333" s="13"/>
      <c r="T333" s="13"/>
      <c r="U333" s="13"/>
      <c r="V333" s="13"/>
      <c r="W333" s="13"/>
      <c r="X333" s="13"/>
      <c r="Y333" s="13"/>
      <c r="Z333" s="13"/>
      <c r="AA333" s="13"/>
      <c r="AB333" s="13"/>
      <c r="AC333" s="13"/>
      <c r="AD333" s="13"/>
      <c r="AE333" s="13"/>
      <c r="AF333" s="13"/>
      <c r="AG333" s="13"/>
      <c r="AH333" s="13"/>
      <c r="AI333" s="13"/>
      <c r="AJ333" s="13"/>
      <c r="AK333" s="13"/>
      <c r="AL333" s="13"/>
      <c r="AM333" s="13"/>
      <c r="AN333" s="13"/>
      <c r="AO333" s="13"/>
      <c r="AP333" s="13"/>
      <c r="AQ333" s="13"/>
      <c r="AR333" s="13"/>
    </row>
    <row r="334" spans="15:44" x14ac:dyDescent="0.2">
      <c r="O334" s="1"/>
      <c r="P334" s="1"/>
      <c r="Q334" s="1"/>
      <c r="R334" s="1"/>
      <c r="S334" s="13"/>
      <c r="T334" s="13"/>
      <c r="U334" s="13"/>
      <c r="V334" s="13"/>
      <c r="W334" s="13"/>
      <c r="X334" s="13"/>
      <c r="Y334" s="13"/>
      <c r="Z334" s="13"/>
      <c r="AA334" s="13"/>
      <c r="AB334" s="13"/>
      <c r="AC334" s="13"/>
      <c r="AD334" s="13"/>
      <c r="AE334" s="13"/>
      <c r="AF334" s="13"/>
      <c r="AG334" s="13"/>
      <c r="AH334" s="13"/>
      <c r="AI334" s="13"/>
      <c r="AJ334" s="13"/>
      <c r="AK334" s="13"/>
      <c r="AL334" s="13"/>
      <c r="AM334" s="13"/>
      <c r="AN334" s="13"/>
      <c r="AO334" s="13"/>
      <c r="AP334" s="13"/>
      <c r="AQ334" s="13"/>
      <c r="AR334" s="13"/>
    </row>
    <row r="335" spans="15:44" x14ac:dyDescent="0.2">
      <c r="O335" s="1"/>
      <c r="P335" s="1"/>
      <c r="Q335" s="1"/>
      <c r="R335" s="1"/>
      <c r="S335" s="13"/>
      <c r="T335" s="13"/>
      <c r="U335" s="13"/>
      <c r="V335" s="13"/>
      <c r="W335" s="13"/>
      <c r="X335" s="13"/>
      <c r="Y335" s="13"/>
      <c r="Z335" s="13"/>
      <c r="AA335" s="13"/>
      <c r="AB335" s="13"/>
      <c r="AC335" s="13"/>
      <c r="AD335" s="13"/>
      <c r="AE335" s="13"/>
      <c r="AF335" s="13"/>
      <c r="AG335" s="13"/>
      <c r="AH335" s="13"/>
      <c r="AI335" s="13"/>
      <c r="AJ335" s="13"/>
      <c r="AK335" s="13"/>
      <c r="AL335" s="13"/>
      <c r="AM335" s="13"/>
      <c r="AN335" s="13"/>
      <c r="AO335" s="13"/>
      <c r="AP335" s="13"/>
      <c r="AQ335" s="13"/>
      <c r="AR335" s="13"/>
    </row>
    <row r="336" spans="15:44" x14ac:dyDescent="0.2">
      <c r="O336" s="1"/>
      <c r="P336" s="1"/>
      <c r="Q336" s="1"/>
      <c r="R336" s="1"/>
      <c r="S336" s="13"/>
      <c r="T336" s="13"/>
      <c r="U336" s="13"/>
      <c r="V336" s="13"/>
      <c r="W336" s="13"/>
      <c r="X336" s="13"/>
      <c r="Y336" s="13"/>
      <c r="Z336" s="13"/>
      <c r="AA336" s="13"/>
      <c r="AB336" s="13"/>
      <c r="AC336" s="13"/>
      <c r="AD336" s="13"/>
      <c r="AE336" s="13"/>
      <c r="AF336" s="13"/>
      <c r="AG336" s="13"/>
      <c r="AH336" s="13"/>
      <c r="AI336" s="13"/>
      <c r="AJ336" s="13"/>
      <c r="AK336" s="13"/>
      <c r="AL336" s="13"/>
      <c r="AM336" s="13"/>
      <c r="AN336" s="13"/>
      <c r="AO336" s="13"/>
      <c r="AP336" s="13"/>
      <c r="AQ336" s="13"/>
      <c r="AR336" s="13"/>
    </row>
    <row r="337" spans="15:44" x14ac:dyDescent="0.2">
      <c r="O337" s="1"/>
      <c r="P337" s="1"/>
      <c r="Q337" s="1"/>
      <c r="R337" s="1"/>
      <c r="S337" s="13"/>
      <c r="T337" s="13"/>
      <c r="U337" s="13"/>
      <c r="V337" s="13"/>
      <c r="W337" s="13"/>
      <c r="X337" s="13"/>
      <c r="Y337" s="13"/>
      <c r="Z337" s="13"/>
      <c r="AA337" s="13"/>
      <c r="AB337" s="13"/>
      <c r="AC337" s="13"/>
      <c r="AD337" s="13"/>
      <c r="AE337" s="13"/>
      <c r="AF337" s="13"/>
      <c r="AG337" s="13"/>
      <c r="AH337" s="13"/>
      <c r="AI337" s="13"/>
      <c r="AJ337" s="13"/>
      <c r="AK337" s="13"/>
      <c r="AL337" s="13"/>
      <c r="AM337" s="13"/>
      <c r="AN337" s="13"/>
      <c r="AO337" s="13"/>
      <c r="AP337" s="13"/>
      <c r="AQ337" s="13"/>
      <c r="AR337" s="13"/>
    </row>
    <row r="338" spans="15:44" x14ac:dyDescent="0.2">
      <c r="O338" s="1"/>
      <c r="P338" s="1"/>
      <c r="Q338" s="1"/>
      <c r="R338" s="1"/>
      <c r="S338" s="13"/>
      <c r="T338" s="13"/>
      <c r="U338" s="13"/>
      <c r="V338" s="13"/>
      <c r="W338" s="13"/>
      <c r="X338" s="13"/>
      <c r="Y338" s="13"/>
      <c r="Z338" s="13"/>
      <c r="AA338" s="13"/>
      <c r="AB338" s="13"/>
      <c r="AC338" s="13"/>
      <c r="AD338" s="13"/>
      <c r="AE338" s="13"/>
      <c r="AF338" s="13"/>
      <c r="AG338" s="13"/>
      <c r="AH338" s="13"/>
      <c r="AI338" s="13"/>
      <c r="AJ338" s="13"/>
      <c r="AK338" s="13"/>
      <c r="AL338" s="13"/>
      <c r="AM338" s="13"/>
      <c r="AN338" s="13"/>
      <c r="AO338" s="13"/>
      <c r="AP338" s="13"/>
      <c r="AQ338" s="13"/>
      <c r="AR338" s="13"/>
    </row>
    <row r="339" spans="15:44" x14ac:dyDescent="0.2">
      <c r="O339" s="1"/>
      <c r="P339" s="1"/>
      <c r="Q339" s="1"/>
      <c r="R339" s="1"/>
      <c r="S339" s="13"/>
      <c r="T339" s="13"/>
      <c r="U339" s="13"/>
      <c r="V339" s="13"/>
      <c r="W339" s="13"/>
      <c r="X339" s="13"/>
      <c r="Y339" s="13"/>
      <c r="Z339" s="13"/>
      <c r="AA339" s="13"/>
      <c r="AB339" s="13"/>
      <c r="AC339" s="13"/>
      <c r="AD339" s="13"/>
      <c r="AE339" s="13"/>
      <c r="AF339" s="13"/>
      <c r="AG339" s="13"/>
      <c r="AH339" s="13"/>
      <c r="AI339" s="13"/>
      <c r="AJ339" s="13"/>
      <c r="AK339" s="13"/>
      <c r="AL339" s="13"/>
      <c r="AM339" s="13"/>
      <c r="AN339" s="13"/>
      <c r="AO339" s="13"/>
      <c r="AP339" s="13"/>
      <c r="AQ339" s="13"/>
      <c r="AR339" s="13"/>
    </row>
    <row r="340" spans="15:44" x14ac:dyDescent="0.2">
      <c r="O340" s="1"/>
      <c r="P340" s="1"/>
      <c r="Q340" s="1"/>
      <c r="R340" s="1"/>
      <c r="S340" s="13"/>
      <c r="T340" s="13"/>
      <c r="U340" s="13"/>
      <c r="V340" s="13"/>
      <c r="W340" s="13"/>
      <c r="X340" s="13"/>
      <c r="Y340" s="13"/>
      <c r="Z340" s="13"/>
      <c r="AA340" s="13"/>
      <c r="AB340" s="13"/>
      <c r="AC340" s="13"/>
      <c r="AD340" s="13"/>
      <c r="AE340" s="13"/>
      <c r="AF340" s="13"/>
      <c r="AG340" s="13"/>
      <c r="AH340" s="13"/>
      <c r="AI340" s="13"/>
      <c r="AJ340" s="13"/>
      <c r="AK340" s="13"/>
      <c r="AL340" s="13"/>
      <c r="AM340" s="13"/>
      <c r="AN340" s="13"/>
      <c r="AO340" s="13"/>
      <c r="AP340" s="13"/>
      <c r="AQ340" s="13"/>
      <c r="AR340" s="13"/>
    </row>
    <row r="341" spans="15:44" x14ac:dyDescent="0.2">
      <c r="O341" s="1"/>
      <c r="P341" s="1"/>
      <c r="Q341" s="1"/>
      <c r="R341" s="1"/>
      <c r="S341" s="13"/>
      <c r="T341" s="13"/>
      <c r="U341" s="13"/>
      <c r="V341" s="13"/>
      <c r="W341" s="13"/>
      <c r="X341" s="13"/>
      <c r="Y341" s="13"/>
      <c r="Z341" s="13"/>
      <c r="AA341" s="13"/>
      <c r="AB341" s="13"/>
      <c r="AC341" s="13"/>
      <c r="AD341" s="13"/>
      <c r="AE341" s="13"/>
      <c r="AF341" s="13"/>
      <c r="AG341" s="13"/>
      <c r="AH341" s="13"/>
      <c r="AI341" s="13"/>
      <c r="AJ341" s="13"/>
      <c r="AK341" s="13"/>
      <c r="AL341" s="13"/>
      <c r="AM341" s="13"/>
      <c r="AN341" s="13"/>
      <c r="AO341" s="13"/>
      <c r="AP341" s="13"/>
      <c r="AQ341" s="13"/>
      <c r="AR341" s="13"/>
    </row>
    <row r="342" spans="15:44" x14ac:dyDescent="0.2">
      <c r="O342" s="1"/>
      <c r="P342" s="1"/>
      <c r="Q342" s="1"/>
      <c r="R342" s="1"/>
      <c r="S342" s="13"/>
      <c r="T342" s="13"/>
      <c r="U342" s="13"/>
      <c r="V342" s="13"/>
      <c r="W342" s="13"/>
      <c r="X342" s="13"/>
      <c r="Y342" s="13"/>
      <c r="Z342" s="13"/>
      <c r="AA342" s="13"/>
      <c r="AB342" s="13"/>
      <c r="AC342" s="13"/>
      <c r="AD342" s="13"/>
      <c r="AE342" s="13"/>
      <c r="AF342" s="13"/>
      <c r="AG342" s="13"/>
      <c r="AH342" s="13"/>
      <c r="AI342" s="13"/>
      <c r="AJ342" s="13"/>
      <c r="AK342" s="13"/>
      <c r="AL342" s="13"/>
      <c r="AM342" s="13"/>
      <c r="AN342" s="13"/>
      <c r="AO342" s="13"/>
      <c r="AP342" s="13"/>
      <c r="AQ342" s="13"/>
      <c r="AR342" s="13"/>
    </row>
    <row r="343" spans="15:44" x14ac:dyDescent="0.2">
      <c r="O343" s="1"/>
      <c r="P343" s="1"/>
      <c r="Q343" s="1"/>
      <c r="R343" s="1"/>
      <c r="S343" s="13"/>
      <c r="T343" s="13"/>
      <c r="U343" s="13"/>
      <c r="V343" s="13"/>
      <c r="W343" s="13"/>
      <c r="X343" s="13"/>
      <c r="Y343" s="13"/>
      <c r="Z343" s="13"/>
      <c r="AA343" s="13"/>
      <c r="AB343" s="13"/>
      <c r="AC343" s="13"/>
      <c r="AD343" s="13"/>
      <c r="AE343" s="13"/>
      <c r="AF343" s="13"/>
      <c r="AG343" s="13"/>
      <c r="AH343" s="13"/>
      <c r="AI343" s="13"/>
      <c r="AJ343" s="13"/>
      <c r="AK343" s="13"/>
      <c r="AL343" s="13"/>
      <c r="AM343" s="13"/>
      <c r="AN343" s="13"/>
      <c r="AO343" s="13"/>
      <c r="AP343" s="13"/>
      <c r="AQ343" s="13"/>
      <c r="AR343" s="13"/>
    </row>
    <row r="344" spans="15:44" x14ac:dyDescent="0.2">
      <c r="O344" s="1"/>
      <c r="P344" s="1"/>
      <c r="Q344" s="1"/>
      <c r="R344" s="1"/>
      <c r="S344" s="13"/>
      <c r="T344" s="13"/>
      <c r="U344" s="13"/>
      <c r="V344" s="13"/>
      <c r="W344" s="13"/>
      <c r="X344" s="13"/>
      <c r="Y344" s="13"/>
      <c r="Z344" s="13"/>
      <c r="AA344" s="13"/>
      <c r="AB344" s="13"/>
      <c r="AC344" s="13"/>
      <c r="AD344" s="13"/>
      <c r="AE344" s="13"/>
      <c r="AF344" s="13"/>
      <c r="AG344" s="13"/>
      <c r="AH344" s="13"/>
      <c r="AI344" s="13"/>
      <c r="AJ344" s="13"/>
      <c r="AK344" s="13"/>
      <c r="AL344" s="13"/>
      <c r="AM344" s="13"/>
      <c r="AN344" s="13"/>
      <c r="AO344" s="13"/>
      <c r="AP344" s="13"/>
      <c r="AQ344" s="13"/>
      <c r="AR344" s="13"/>
    </row>
    <row r="345" spans="15:44" x14ac:dyDescent="0.2">
      <c r="O345" s="1"/>
      <c r="P345" s="1"/>
      <c r="Q345" s="1"/>
      <c r="R345" s="1"/>
      <c r="S345" s="13"/>
      <c r="T345" s="13"/>
      <c r="U345" s="13"/>
      <c r="V345" s="13"/>
      <c r="W345" s="13"/>
      <c r="X345" s="13"/>
      <c r="Y345" s="13"/>
      <c r="Z345" s="13"/>
      <c r="AA345" s="13"/>
      <c r="AB345" s="13"/>
      <c r="AC345" s="13"/>
      <c r="AD345" s="13"/>
      <c r="AE345" s="13"/>
      <c r="AF345" s="13"/>
      <c r="AG345" s="13"/>
      <c r="AH345" s="13"/>
      <c r="AI345" s="13"/>
      <c r="AJ345" s="13"/>
      <c r="AK345" s="13"/>
      <c r="AL345" s="13"/>
      <c r="AM345" s="13"/>
      <c r="AN345" s="13"/>
      <c r="AO345" s="13"/>
      <c r="AP345" s="13"/>
      <c r="AQ345" s="13"/>
      <c r="AR345" s="13"/>
    </row>
    <row r="346" spans="15:44" x14ac:dyDescent="0.2">
      <c r="O346" s="1"/>
      <c r="P346" s="1"/>
      <c r="Q346" s="1"/>
      <c r="R346" s="1"/>
      <c r="S346" s="13"/>
      <c r="T346" s="13"/>
      <c r="U346" s="13"/>
      <c r="V346" s="13"/>
      <c r="W346" s="13"/>
      <c r="X346" s="13"/>
      <c r="Y346" s="13"/>
      <c r="Z346" s="13"/>
      <c r="AA346" s="13"/>
      <c r="AB346" s="13"/>
      <c r="AC346" s="13"/>
      <c r="AD346" s="13"/>
      <c r="AE346" s="13"/>
      <c r="AF346" s="13"/>
      <c r="AG346" s="13"/>
      <c r="AH346" s="13"/>
      <c r="AI346" s="13"/>
      <c r="AJ346" s="13"/>
      <c r="AK346" s="13"/>
      <c r="AL346" s="13"/>
      <c r="AM346" s="13"/>
      <c r="AN346" s="13"/>
      <c r="AO346" s="13"/>
      <c r="AP346" s="13"/>
      <c r="AQ346" s="13"/>
      <c r="AR346" s="13"/>
    </row>
    <row r="347" spans="15:44" x14ac:dyDescent="0.2">
      <c r="O347" s="1"/>
      <c r="P347" s="1"/>
      <c r="Q347" s="1"/>
      <c r="R347" s="1"/>
      <c r="S347" s="13"/>
      <c r="T347" s="13"/>
      <c r="U347" s="13"/>
      <c r="V347" s="13"/>
      <c r="W347" s="13"/>
      <c r="X347" s="13"/>
      <c r="Y347" s="13"/>
      <c r="Z347" s="13"/>
      <c r="AA347" s="13"/>
      <c r="AB347" s="13"/>
      <c r="AC347" s="13"/>
      <c r="AD347" s="13"/>
      <c r="AE347" s="13"/>
      <c r="AF347" s="13"/>
      <c r="AG347" s="13"/>
      <c r="AH347" s="13"/>
      <c r="AI347" s="13"/>
      <c r="AJ347" s="13"/>
      <c r="AK347" s="13"/>
      <c r="AL347" s="13"/>
      <c r="AM347" s="13"/>
      <c r="AN347" s="13"/>
      <c r="AO347" s="13"/>
      <c r="AP347" s="13"/>
      <c r="AQ347" s="13"/>
      <c r="AR347" s="13"/>
    </row>
    <row r="348" spans="15:44" x14ac:dyDescent="0.2">
      <c r="O348" s="1"/>
      <c r="P348" s="1"/>
      <c r="Q348" s="1"/>
      <c r="R348" s="1"/>
      <c r="S348" s="13"/>
      <c r="T348" s="13"/>
      <c r="U348" s="13"/>
      <c r="V348" s="13"/>
      <c r="W348" s="13"/>
      <c r="X348" s="13"/>
      <c r="Y348" s="13"/>
      <c r="Z348" s="13"/>
      <c r="AA348" s="13"/>
      <c r="AB348" s="13"/>
      <c r="AC348" s="13"/>
      <c r="AD348" s="13"/>
      <c r="AE348" s="13"/>
      <c r="AF348" s="13"/>
      <c r="AG348" s="13"/>
      <c r="AH348" s="13"/>
      <c r="AI348" s="13"/>
      <c r="AJ348" s="13"/>
      <c r="AK348" s="13"/>
      <c r="AL348" s="13"/>
      <c r="AM348" s="13"/>
      <c r="AN348" s="13"/>
      <c r="AO348" s="13"/>
      <c r="AP348" s="13"/>
      <c r="AQ348" s="13"/>
      <c r="AR348" s="13"/>
    </row>
    <row r="349" spans="15:44" x14ac:dyDescent="0.2">
      <c r="O349" s="1"/>
      <c r="P349" s="1"/>
      <c r="Q349" s="1"/>
      <c r="R349" s="1"/>
      <c r="S349" s="13"/>
      <c r="T349" s="13"/>
      <c r="U349" s="13"/>
      <c r="V349" s="13"/>
      <c r="W349" s="13"/>
      <c r="X349" s="13"/>
      <c r="Y349" s="13"/>
      <c r="Z349" s="13"/>
      <c r="AA349" s="13"/>
      <c r="AB349" s="13"/>
      <c r="AC349" s="13"/>
      <c r="AD349" s="13"/>
      <c r="AE349" s="13"/>
      <c r="AF349" s="13"/>
      <c r="AG349" s="13"/>
      <c r="AH349" s="13"/>
      <c r="AI349" s="13"/>
      <c r="AJ349" s="13"/>
      <c r="AK349" s="13"/>
      <c r="AL349" s="13"/>
      <c r="AM349" s="13"/>
      <c r="AN349" s="13"/>
      <c r="AO349" s="13"/>
      <c r="AP349" s="13"/>
      <c r="AQ349" s="13"/>
      <c r="AR349" s="13"/>
    </row>
    <row r="350" spans="15:44" x14ac:dyDescent="0.2">
      <c r="O350" s="1"/>
      <c r="P350" s="1"/>
      <c r="Q350" s="1"/>
      <c r="R350" s="1"/>
      <c r="S350" s="13"/>
      <c r="T350" s="13"/>
      <c r="U350" s="13"/>
      <c r="V350" s="13"/>
      <c r="W350" s="13"/>
      <c r="X350" s="13"/>
      <c r="Y350" s="13"/>
      <c r="Z350" s="13"/>
      <c r="AA350" s="13"/>
      <c r="AB350" s="13"/>
      <c r="AC350" s="13"/>
      <c r="AD350" s="13"/>
      <c r="AE350" s="13"/>
      <c r="AF350" s="13"/>
      <c r="AG350" s="13"/>
      <c r="AH350" s="13"/>
      <c r="AI350" s="13"/>
      <c r="AJ350" s="13"/>
      <c r="AK350" s="13"/>
      <c r="AL350" s="13"/>
      <c r="AM350" s="13"/>
      <c r="AN350" s="13"/>
      <c r="AO350" s="13"/>
      <c r="AP350" s="13"/>
      <c r="AQ350" s="13"/>
      <c r="AR350" s="13"/>
    </row>
    <row r="351" spans="15:44" x14ac:dyDescent="0.2">
      <c r="O351" s="1"/>
      <c r="P351" s="1"/>
      <c r="Q351" s="1"/>
      <c r="R351" s="1"/>
      <c r="S351" s="13"/>
      <c r="T351" s="13"/>
      <c r="U351" s="13"/>
      <c r="V351" s="13"/>
      <c r="W351" s="13"/>
      <c r="X351" s="13"/>
      <c r="Y351" s="13"/>
      <c r="Z351" s="13"/>
      <c r="AA351" s="13"/>
      <c r="AB351" s="13"/>
      <c r="AC351" s="13"/>
      <c r="AD351" s="13"/>
      <c r="AE351" s="13"/>
      <c r="AF351" s="13"/>
      <c r="AG351" s="13"/>
      <c r="AH351" s="13"/>
      <c r="AI351" s="13"/>
      <c r="AJ351" s="13"/>
      <c r="AK351" s="13"/>
      <c r="AL351" s="13"/>
      <c r="AM351" s="13"/>
      <c r="AN351" s="13"/>
      <c r="AO351" s="13"/>
      <c r="AP351" s="13"/>
      <c r="AQ351" s="13"/>
      <c r="AR351" s="13"/>
    </row>
    <row r="352" spans="15:44" x14ac:dyDescent="0.2">
      <c r="O352" s="1"/>
      <c r="P352" s="1"/>
      <c r="Q352" s="1"/>
      <c r="R352" s="1"/>
      <c r="S352" s="13"/>
      <c r="T352" s="13"/>
      <c r="U352" s="13"/>
      <c r="V352" s="13"/>
      <c r="W352" s="13"/>
      <c r="X352" s="13"/>
      <c r="Y352" s="13"/>
      <c r="Z352" s="13"/>
      <c r="AA352" s="13"/>
      <c r="AB352" s="13"/>
      <c r="AC352" s="13"/>
      <c r="AD352" s="13"/>
      <c r="AE352" s="13"/>
      <c r="AF352" s="13"/>
      <c r="AG352" s="13"/>
      <c r="AH352" s="13"/>
      <c r="AI352" s="13"/>
      <c r="AJ352" s="13"/>
      <c r="AK352" s="13"/>
      <c r="AL352" s="13"/>
      <c r="AM352" s="13"/>
      <c r="AN352" s="13"/>
      <c r="AO352" s="13"/>
      <c r="AP352" s="13"/>
      <c r="AQ352" s="13"/>
      <c r="AR352" s="13"/>
    </row>
    <row r="353" spans="15:44" x14ac:dyDescent="0.2">
      <c r="O353" s="1"/>
      <c r="P353" s="1"/>
      <c r="Q353" s="1"/>
      <c r="R353" s="1"/>
      <c r="S353" s="13"/>
      <c r="T353" s="13"/>
      <c r="U353" s="13"/>
      <c r="V353" s="13"/>
      <c r="W353" s="13"/>
      <c r="X353" s="13"/>
      <c r="Y353" s="13"/>
      <c r="Z353" s="13"/>
      <c r="AA353" s="13"/>
      <c r="AB353" s="13"/>
      <c r="AC353" s="13"/>
      <c r="AD353" s="13"/>
      <c r="AE353" s="13"/>
      <c r="AF353" s="13"/>
      <c r="AG353" s="13"/>
      <c r="AH353" s="13"/>
      <c r="AI353" s="13"/>
      <c r="AJ353" s="13"/>
      <c r="AK353" s="13"/>
      <c r="AL353" s="13"/>
      <c r="AM353" s="13"/>
      <c r="AN353" s="13"/>
      <c r="AO353" s="13"/>
      <c r="AP353" s="13"/>
      <c r="AQ353" s="13"/>
      <c r="AR353" s="13"/>
    </row>
    <row r="354" spans="15:44" x14ac:dyDescent="0.2">
      <c r="O354" s="1"/>
      <c r="P354" s="1"/>
      <c r="Q354" s="1"/>
      <c r="R354" s="1"/>
      <c r="S354" s="13"/>
      <c r="T354" s="13"/>
      <c r="U354" s="13"/>
      <c r="V354" s="13"/>
      <c r="W354" s="13"/>
      <c r="X354" s="13"/>
      <c r="Y354" s="13"/>
      <c r="Z354" s="13"/>
      <c r="AA354" s="13"/>
      <c r="AB354" s="13"/>
      <c r="AC354" s="13"/>
      <c r="AD354" s="13"/>
      <c r="AE354" s="13"/>
      <c r="AF354" s="13"/>
      <c r="AG354" s="13"/>
      <c r="AH354" s="13"/>
      <c r="AI354" s="13"/>
      <c r="AJ354" s="13"/>
      <c r="AK354" s="13"/>
      <c r="AL354" s="13"/>
      <c r="AM354" s="13"/>
      <c r="AN354" s="13"/>
      <c r="AO354" s="13"/>
      <c r="AP354" s="13"/>
      <c r="AQ354" s="13"/>
      <c r="AR354" s="13"/>
    </row>
    <row r="355" spans="15:44" x14ac:dyDescent="0.2">
      <c r="O355" s="1"/>
      <c r="P355" s="1"/>
      <c r="Q355" s="1"/>
      <c r="R355" s="1"/>
      <c r="S355" s="13"/>
      <c r="T355" s="13"/>
      <c r="U355" s="13"/>
      <c r="V355" s="13"/>
      <c r="W355" s="13"/>
      <c r="X355" s="13"/>
      <c r="Y355" s="13"/>
      <c r="Z355" s="13"/>
      <c r="AA355" s="13"/>
      <c r="AB355" s="13"/>
      <c r="AC355" s="13"/>
      <c r="AD355" s="13"/>
      <c r="AE355" s="13"/>
      <c r="AF355" s="13"/>
      <c r="AG355" s="13"/>
      <c r="AH355" s="13"/>
      <c r="AI355" s="13"/>
      <c r="AJ355" s="13"/>
      <c r="AK355" s="13"/>
      <c r="AL355" s="13"/>
      <c r="AM355" s="13"/>
      <c r="AN355" s="13"/>
      <c r="AO355" s="13"/>
      <c r="AP355" s="13"/>
      <c r="AQ355" s="13"/>
      <c r="AR355" s="13"/>
    </row>
    <row r="356" spans="15:44" x14ac:dyDescent="0.2">
      <c r="O356" s="1"/>
      <c r="P356" s="1"/>
      <c r="Q356" s="1"/>
      <c r="R356" s="1"/>
      <c r="S356" s="13"/>
      <c r="T356" s="13"/>
      <c r="U356" s="13"/>
      <c r="V356" s="13"/>
      <c r="W356" s="13"/>
      <c r="X356" s="13"/>
      <c r="Y356" s="13"/>
      <c r="Z356" s="13"/>
      <c r="AA356" s="13"/>
      <c r="AB356" s="13"/>
      <c r="AC356" s="13"/>
      <c r="AD356" s="13"/>
      <c r="AE356" s="13"/>
      <c r="AF356" s="13"/>
      <c r="AG356" s="13"/>
      <c r="AH356" s="13"/>
      <c r="AI356" s="13"/>
      <c r="AJ356" s="13"/>
      <c r="AK356" s="13"/>
      <c r="AL356" s="13"/>
      <c r="AM356" s="13"/>
      <c r="AN356" s="13"/>
      <c r="AO356" s="13"/>
      <c r="AP356" s="13"/>
      <c r="AQ356" s="13"/>
      <c r="AR356" s="13"/>
    </row>
    <row r="357" spans="15:44" x14ac:dyDescent="0.2">
      <c r="O357" s="1"/>
      <c r="P357" s="1"/>
      <c r="Q357" s="1"/>
      <c r="R357" s="1"/>
      <c r="S357" s="13"/>
      <c r="T357" s="13"/>
      <c r="U357" s="13"/>
      <c r="V357" s="13"/>
      <c r="W357" s="13"/>
      <c r="X357" s="13"/>
      <c r="Y357" s="13"/>
      <c r="Z357" s="13"/>
      <c r="AA357" s="13"/>
      <c r="AB357" s="13"/>
      <c r="AC357" s="13"/>
      <c r="AD357" s="13"/>
      <c r="AE357" s="13"/>
      <c r="AF357" s="13"/>
      <c r="AG357" s="13"/>
      <c r="AH357" s="13"/>
      <c r="AI357" s="13"/>
      <c r="AJ357" s="13"/>
      <c r="AK357" s="13"/>
      <c r="AL357" s="13"/>
      <c r="AM357" s="13"/>
      <c r="AN357" s="13"/>
      <c r="AO357" s="13"/>
      <c r="AP357" s="13"/>
      <c r="AQ357" s="13"/>
      <c r="AR357" s="13"/>
    </row>
    <row r="358" spans="15:44" x14ac:dyDescent="0.2">
      <c r="O358" s="1"/>
      <c r="P358" s="1"/>
      <c r="Q358" s="1"/>
      <c r="R358" s="1"/>
      <c r="S358" s="13"/>
      <c r="T358" s="13"/>
      <c r="U358" s="13"/>
      <c r="V358" s="13"/>
      <c r="W358" s="13"/>
      <c r="X358" s="13"/>
      <c r="Y358" s="13"/>
      <c r="Z358" s="13"/>
      <c r="AA358" s="13"/>
      <c r="AB358" s="13"/>
      <c r="AC358" s="13"/>
      <c r="AD358" s="13"/>
      <c r="AE358" s="13"/>
      <c r="AF358" s="13"/>
      <c r="AG358" s="13"/>
      <c r="AH358" s="13"/>
      <c r="AI358" s="13"/>
      <c r="AJ358" s="13"/>
      <c r="AK358" s="13"/>
      <c r="AL358" s="13"/>
      <c r="AM358" s="13"/>
      <c r="AN358" s="13"/>
      <c r="AO358" s="13"/>
      <c r="AP358" s="13"/>
      <c r="AQ358" s="13"/>
      <c r="AR358" s="13"/>
    </row>
    <row r="359" spans="15:44" x14ac:dyDescent="0.2">
      <c r="O359" s="1"/>
      <c r="P359" s="1"/>
      <c r="Q359" s="1"/>
      <c r="R359" s="1"/>
      <c r="S359" s="13"/>
      <c r="T359" s="13"/>
      <c r="U359" s="13"/>
      <c r="V359" s="13"/>
      <c r="W359" s="13"/>
      <c r="X359" s="13"/>
      <c r="Y359" s="13"/>
      <c r="Z359" s="13"/>
      <c r="AA359" s="13"/>
      <c r="AB359" s="13"/>
      <c r="AC359" s="13"/>
      <c r="AD359" s="13"/>
      <c r="AE359" s="13"/>
      <c r="AF359" s="13"/>
      <c r="AG359" s="13"/>
      <c r="AH359" s="13"/>
      <c r="AI359" s="13"/>
      <c r="AJ359" s="13"/>
      <c r="AK359" s="13"/>
      <c r="AL359" s="13"/>
      <c r="AM359" s="13"/>
      <c r="AN359" s="13"/>
      <c r="AO359" s="13"/>
      <c r="AP359" s="13"/>
      <c r="AQ359" s="13"/>
      <c r="AR359" s="13"/>
    </row>
    <row r="360" spans="15:44" x14ac:dyDescent="0.2">
      <c r="O360" s="1"/>
      <c r="P360" s="1"/>
      <c r="Q360" s="1"/>
      <c r="R360" s="1"/>
      <c r="S360" s="13"/>
      <c r="T360" s="13"/>
      <c r="U360" s="13"/>
      <c r="V360" s="13"/>
      <c r="W360" s="13"/>
      <c r="X360" s="13"/>
      <c r="Y360" s="13"/>
      <c r="Z360" s="13"/>
      <c r="AA360" s="13"/>
      <c r="AB360" s="13"/>
      <c r="AC360" s="13"/>
      <c r="AD360" s="13"/>
      <c r="AE360" s="13"/>
      <c r="AF360" s="13"/>
      <c r="AG360" s="13"/>
      <c r="AH360" s="13"/>
      <c r="AI360" s="13"/>
      <c r="AJ360" s="13"/>
      <c r="AK360" s="13"/>
      <c r="AL360" s="13"/>
      <c r="AM360" s="13"/>
      <c r="AN360" s="13"/>
      <c r="AO360" s="13"/>
      <c r="AP360" s="13"/>
      <c r="AQ360" s="13"/>
      <c r="AR360" s="13"/>
    </row>
    <row r="361" spans="15:44" x14ac:dyDescent="0.2">
      <c r="O361" s="1"/>
      <c r="P361" s="1"/>
      <c r="Q361" s="1"/>
      <c r="R361" s="1"/>
      <c r="S361" s="13"/>
      <c r="T361" s="13"/>
      <c r="U361" s="13"/>
      <c r="V361" s="13"/>
      <c r="W361" s="13"/>
      <c r="X361" s="13"/>
      <c r="Y361" s="13"/>
      <c r="Z361" s="13"/>
      <c r="AA361" s="13"/>
      <c r="AB361" s="13"/>
      <c r="AC361" s="13"/>
      <c r="AD361" s="13"/>
      <c r="AE361" s="13"/>
      <c r="AF361" s="13"/>
      <c r="AG361" s="13"/>
      <c r="AH361" s="13"/>
      <c r="AI361" s="13"/>
      <c r="AJ361" s="13"/>
      <c r="AK361" s="13"/>
      <c r="AL361" s="13"/>
      <c r="AM361" s="13"/>
      <c r="AN361" s="13"/>
      <c r="AO361" s="13"/>
      <c r="AP361" s="13"/>
      <c r="AQ361" s="13"/>
      <c r="AR361" s="13"/>
    </row>
    <row r="362" spans="15:44" x14ac:dyDescent="0.2">
      <c r="O362" s="1"/>
      <c r="P362" s="1"/>
      <c r="Q362" s="1"/>
      <c r="R362" s="1"/>
      <c r="S362" s="13"/>
      <c r="T362" s="13"/>
      <c r="U362" s="13"/>
      <c r="V362" s="13"/>
      <c r="W362" s="13"/>
      <c r="X362" s="13"/>
      <c r="Y362" s="13"/>
      <c r="Z362" s="13"/>
      <c r="AA362" s="13"/>
      <c r="AB362" s="13"/>
      <c r="AC362" s="13"/>
      <c r="AD362" s="13"/>
      <c r="AE362" s="13"/>
      <c r="AF362" s="13"/>
      <c r="AG362" s="13"/>
      <c r="AH362" s="13"/>
      <c r="AI362" s="13"/>
      <c r="AJ362" s="13"/>
      <c r="AK362" s="13"/>
      <c r="AL362" s="13"/>
      <c r="AM362" s="13"/>
      <c r="AN362" s="13"/>
      <c r="AO362" s="13"/>
      <c r="AP362" s="13"/>
      <c r="AQ362" s="13"/>
      <c r="AR362" s="13"/>
    </row>
    <row r="363" spans="15:44" x14ac:dyDescent="0.2">
      <c r="O363" s="1"/>
      <c r="P363" s="1"/>
      <c r="Q363" s="1"/>
      <c r="R363" s="1"/>
      <c r="S363" s="13"/>
      <c r="T363" s="13"/>
      <c r="U363" s="13"/>
      <c r="V363" s="13"/>
      <c r="W363" s="13"/>
      <c r="X363" s="13"/>
      <c r="Y363" s="13"/>
      <c r="Z363" s="13"/>
      <c r="AA363" s="13"/>
      <c r="AB363" s="13"/>
      <c r="AC363" s="13"/>
      <c r="AD363" s="13"/>
      <c r="AE363" s="13"/>
      <c r="AF363" s="13"/>
      <c r="AG363" s="13"/>
      <c r="AH363" s="13"/>
      <c r="AI363" s="13"/>
      <c r="AJ363" s="13"/>
      <c r="AK363" s="13"/>
      <c r="AL363" s="13"/>
      <c r="AM363" s="13"/>
      <c r="AN363" s="13"/>
      <c r="AO363" s="13"/>
      <c r="AP363" s="13"/>
      <c r="AQ363" s="13"/>
      <c r="AR363" s="13"/>
    </row>
    <row r="364" spans="15:44" x14ac:dyDescent="0.2">
      <c r="O364" s="1"/>
      <c r="P364" s="1"/>
      <c r="Q364" s="1"/>
      <c r="R364" s="1"/>
      <c r="S364" s="13"/>
      <c r="T364" s="13"/>
      <c r="U364" s="13"/>
      <c r="V364" s="13"/>
      <c r="W364" s="13"/>
      <c r="X364" s="13"/>
      <c r="Y364" s="13"/>
      <c r="Z364" s="13"/>
      <c r="AA364" s="13"/>
      <c r="AB364" s="13"/>
      <c r="AC364" s="13"/>
      <c r="AD364" s="13"/>
      <c r="AE364" s="13"/>
      <c r="AF364" s="13"/>
      <c r="AG364" s="13"/>
      <c r="AH364" s="13"/>
      <c r="AI364" s="13"/>
      <c r="AJ364" s="13"/>
      <c r="AK364" s="13"/>
      <c r="AL364" s="13"/>
      <c r="AM364" s="13"/>
      <c r="AN364" s="13"/>
      <c r="AO364" s="13"/>
      <c r="AP364" s="13"/>
      <c r="AQ364" s="13"/>
      <c r="AR364" s="13"/>
    </row>
    <row r="365" spans="15:44" x14ac:dyDescent="0.2">
      <c r="O365" s="1"/>
      <c r="P365" s="1"/>
      <c r="Q365" s="1"/>
      <c r="R365" s="1"/>
      <c r="S365" s="13"/>
      <c r="T365" s="13"/>
      <c r="U365" s="13"/>
      <c r="V365" s="13"/>
      <c r="W365" s="13"/>
      <c r="X365" s="13"/>
      <c r="Y365" s="13"/>
      <c r="Z365" s="13"/>
      <c r="AA365" s="13"/>
      <c r="AB365" s="13"/>
      <c r="AC365" s="13"/>
      <c r="AD365" s="13"/>
      <c r="AE365" s="13"/>
      <c r="AF365" s="13"/>
      <c r="AG365" s="13"/>
      <c r="AH365" s="13"/>
      <c r="AI365" s="13"/>
      <c r="AJ365" s="13"/>
      <c r="AK365" s="13"/>
      <c r="AL365" s="13"/>
      <c r="AM365" s="13"/>
      <c r="AN365" s="13"/>
      <c r="AO365" s="13"/>
      <c r="AP365" s="13"/>
      <c r="AQ365" s="13"/>
      <c r="AR365" s="13"/>
    </row>
    <row r="366" spans="15:44" x14ac:dyDescent="0.2">
      <c r="O366" s="1"/>
      <c r="P366" s="1"/>
      <c r="Q366" s="1"/>
      <c r="R366" s="1"/>
      <c r="S366" s="13"/>
      <c r="T366" s="13"/>
      <c r="U366" s="13"/>
      <c r="V366" s="13"/>
      <c r="W366" s="13"/>
      <c r="X366" s="13"/>
      <c r="Y366" s="13"/>
      <c r="Z366" s="13"/>
      <c r="AA366" s="13"/>
      <c r="AB366" s="13"/>
      <c r="AC366" s="13"/>
      <c r="AD366" s="13"/>
      <c r="AE366" s="13"/>
      <c r="AF366" s="13"/>
      <c r="AG366" s="13"/>
      <c r="AH366" s="13"/>
      <c r="AI366" s="13"/>
      <c r="AJ366" s="13"/>
      <c r="AK366" s="13"/>
      <c r="AL366" s="13"/>
      <c r="AM366" s="13"/>
      <c r="AN366" s="13"/>
      <c r="AO366" s="13"/>
      <c r="AP366" s="13"/>
      <c r="AQ366" s="13"/>
      <c r="AR366" s="13"/>
    </row>
    <row r="367" spans="15:44" x14ac:dyDescent="0.2">
      <c r="O367" s="1"/>
      <c r="P367" s="1"/>
      <c r="Q367" s="1"/>
      <c r="R367" s="1"/>
      <c r="S367" s="13"/>
      <c r="T367" s="13"/>
      <c r="U367" s="13"/>
      <c r="V367" s="13"/>
      <c r="W367" s="13"/>
      <c r="X367" s="13"/>
      <c r="Y367" s="13"/>
      <c r="Z367" s="13"/>
      <c r="AA367" s="13"/>
      <c r="AB367" s="13"/>
      <c r="AC367" s="13"/>
      <c r="AD367" s="13"/>
      <c r="AE367" s="13"/>
      <c r="AF367" s="13"/>
      <c r="AG367" s="13"/>
      <c r="AH367" s="13"/>
      <c r="AI367" s="13"/>
      <c r="AJ367" s="13"/>
      <c r="AK367" s="13"/>
      <c r="AL367" s="13"/>
      <c r="AM367" s="13"/>
      <c r="AN367" s="13"/>
      <c r="AO367" s="13"/>
      <c r="AP367" s="13"/>
      <c r="AQ367" s="13"/>
      <c r="AR367" s="13"/>
    </row>
    <row r="368" spans="15:44" x14ac:dyDescent="0.2">
      <c r="O368" s="1"/>
      <c r="P368" s="1"/>
      <c r="Q368" s="1"/>
      <c r="R368" s="1"/>
      <c r="S368" s="13"/>
      <c r="T368" s="13"/>
      <c r="U368" s="13"/>
      <c r="V368" s="13"/>
      <c r="W368" s="13"/>
      <c r="X368" s="13"/>
      <c r="Y368" s="13"/>
      <c r="Z368" s="13"/>
      <c r="AA368" s="13"/>
      <c r="AB368" s="13"/>
      <c r="AC368" s="13"/>
      <c r="AD368" s="13"/>
      <c r="AE368" s="13"/>
      <c r="AF368" s="13"/>
      <c r="AG368" s="13"/>
      <c r="AH368" s="13"/>
      <c r="AI368" s="13"/>
      <c r="AJ368" s="13"/>
      <c r="AK368" s="13"/>
      <c r="AL368" s="13"/>
      <c r="AM368" s="13"/>
      <c r="AN368" s="13"/>
      <c r="AO368" s="13"/>
      <c r="AP368" s="13"/>
      <c r="AQ368" s="13"/>
      <c r="AR368" s="13"/>
    </row>
    <row r="369" spans="15:44" x14ac:dyDescent="0.2">
      <c r="O369" s="1"/>
      <c r="P369" s="1"/>
      <c r="Q369" s="1"/>
      <c r="R369" s="1"/>
      <c r="S369" s="13"/>
      <c r="T369" s="13"/>
      <c r="U369" s="13"/>
      <c r="V369" s="13"/>
      <c r="W369" s="13"/>
      <c r="X369" s="13"/>
      <c r="Y369" s="13"/>
      <c r="Z369" s="13"/>
      <c r="AA369" s="13"/>
      <c r="AB369" s="13"/>
      <c r="AC369" s="13"/>
      <c r="AD369" s="13"/>
      <c r="AE369" s="13"/>
      <c r="AF369" s="13"/>
      <c r="AG369" s="13"/>
      <c r="AH369" s="13"/>
      <c r="AI369" s="13"/>
      <c r="AJ369" s="13"/>
      <c r="AK369" s="13"/>
      <c r="AL369" s="13"/>
      <c r="AM369" s="13"/>
      <c r="AN369" s="13"/>
      <c r="AO369" s="13"/>
      <c r="AP369" s="13"/>
      <c r="AQ369" s="13"/>
      <c r="AR369" s="13"/>
    </row>
    <row r="370" spans="15:44" x14ac:dyDescent="0.2">
      <c r="O370" s="1"/>
      <c r="P370" s="1"/>
      <c r="Q370" s="1"/>
      <c r="R370" s="1"/>
      <c r="S370" s="13"/>
      <c r="T370" s="13"/>
      <c r="U370" s="13"/>
      <c r="V370" s="13"/>
      <c r="W370" s="13"/>
      <c r="X370" s="13"/>
      <c r="Y370" s="13"/>
      <c r="Z370" s="13"/>
      <c r="AA370" s="13"/>
      <c r="AB370" s="13"/>
      <c r="AC370" s="13"/>
      <c r="AD370" s="13"/>
      <c r="AE370" s="13"/>
      <c r="AF370" s="13"/>
      <c r="AG370" s="13"/>
      <c r="AH370" s="13"/>
      <c r="AI370" s="13"/>
      <c r="AJ370" s="13"/>
      <c r="AK370" s="13"/>
      <c r="AL370" s="13"/>
      <c r="AM370" s="13"/>
      <c r="AN370" s="13"/>
      <c r="AO370" s="13"/>
      <c r="AP370" s="13"/>
      <c r="AQ370" s="13"/>
      <c r="AR370" s="13"/>
    </row>
    <row r="371" spans="15:44" x14ac:dyDescent="0.2">
      <c r="O371" s="1"/>
      <c r="P371" s="1"/>
      <c r="Q371" s="1"/>
      <c r="R371" s="1"/>
      <c r="S371" s="13"/>
      <c r="T371" s="13"/>
      <c r="U371" s="13"/>
      <c r="V371" s="13"/>
      <c r="W371" s="13"/>
      <c r="X371" s="13"/>
      <c r="Y371" s="13"/>
      <c r="Z371" s="13"/>
      <c r="AA371" s="13"/>
      <c r="AB371" s="13"/>
      <c r="AC371" s="13"/>
      <c r="AD371" s="13"/>
      <c r="AE371" s="13"/>
      <c r="AF371" s="13"/>
      <c r="AG371" s="13"/>
      <c r="AH371" s="13"/>
      <c r="AI371" s="13"/>
      <c r="AJ371" s="13"/>
      <c r="AK371" s="13"/>
      <c r="AL371" s="13"/>
      <c r="AM371" s="13"/>
      <c r="AN371" s="13"/>
      <c r="AO371" s="13"/>
      <c r="AP371" s="13"/>
      <c r="AQ371" s="13"/>
      <c r="AR371" s="13"/>
    </row>
    <row r="372" spans="15:44" x14ac:dyDescent="0.2">
      <c r="O372" s="1"/>
      <c r="P372" s="1"/>
      <c r="Q372" s="1"/>
      <c r="R372" s="1"/>
      <c r="S372" s="13"/>
      <c r="T372" s="13"/>
      <c r="U372" s="13"/>
      <c r="V372" s="13"/>
      <c r="W372" s="13"/>
      <c r="X372" s="13"/>
      <c r="Y372" s="13"/>
      <c r="Z372" s="13"/>
      <c r="AA372" s="13"/>
      <c r="AB372" s="13"/>
      <c r="AC372" s="13"/>
      <c r="AD372" s="13"/>
      <c r="AE372" s="13"/>
      <c r="AF372" s="13"/>
      <c r="AG372" s="13"/>
      <c r="AH372" s="13"/>
      <c r="AI372" s="13"/>
      <c r="AJ372" s="13"/>
      <c r="AK372" s="13"/>
      <c r="AL372" s="13"/>
      <c r="AM372" s="13"/>
      <c r="AN372" s="13"/>
      <c r="AO372" s="13"/>
      <c r="AP372" s="13"/>
      <c r="AQ372" s="13"/>
      <c r="AR372" s="13"/>
    </row>
    <row r="373" spans="15:44" x14ac:dyDescent="0.2">
      <c r="O373" s="1"/>
      <c r="P373" s="1"/>
      <c r="Q373" s="1"/>
      <c r="R373" s="1"/>
      <c r="S373" s="13"/>
      <c r="T373" s="13"/>
      <c r="U373" s="13"/>
      <c r="V373" s="13"/>
      <c r="W373" s="13"/>
      <c r="X373" s="13"/>
      <c r="Y373" s="13"/>
      <c r="Z373" s="13"/>
      <c r="AA373" s="13"/>
      <c r="AB373" s="13"/>
      <c r="AC373" s="13"/>
      <c r="AD373" s="13"/>
      <c r="AE373" s="13"/>
      <c r="AF373" s="13"/>
      <c r="AG373" s="13"/>
      <c r="AH373" s="13"/>
      <c r="AI373" s="13"/>
      <c r="AJ373" s="13"/>
      <c r="AK373" s="13"/>
      <c r="AL373" s="13"/>
      <c r="AM373" s="13"/>
      <c r="AN373" s="13"/>
      <c r="AO373" s="13"/>
      <c r="AP373" s="13"/>
      <c r="AQ373" s="13"/>
      <c r="AR373" s="13"/>
    </row>
    <row r="374" spans="15:44" x14ac:dyDescent="0.2">
      <c r="O374" s="1"/>
      <c r="P374" s="1"/>
      <c r="Q374" s="1"/>
      <c r="R374" s="1"/>
      <c r="S374" s="13"/>
      <c r="T374" s="13"/>
      <c r="U374" s="13"/>
      <c r="V374" s="13"/>
      <c r="W374" s="13"/>
      <c r="X374" s="13"/>
      <c r="Y374" s="13"/>
      <c r="Z374" s="13"/>
      <c r="AA374" s="13"/>
      <c r="AB374" s="13"/>
      <c r="AC374" s="13"/>
      <c r="AD374" s="13"/>
      <c r="AE374" s="13"/>
      <c r="AF374" s="13"/>
      <c r="AG374" s="13"/>
      <c r="AH374" s="13"/>
      <c r="AI374" s="13"/>
      <c r="AJ374" s="13"/>
      <c r="AK374" s="13"/>
      <c r="AL374" s="13"/>
      <c r="AM374" s="13"/>
      <c r="AN374" s="13"/>
      <c r="AO374" s="13"/>
      <c r="AP374" s="13"/>
      <c r="AQ374" s="13"/>
      <c r="AR374" s="13"/>
    </row>
    <row r="375" spans="15:44" x14ac:dyDescent="0.2">
      <c r="O375" s="1"/>
      <c r="P375" s="1"/>
      <c r="Q375" s="1"/>
      <c r="R375" s="1"/>
      <c r="S375" s="13"/>
      <c r="T375" s="13"/>
      <c r="U375" s="13"/>
      <c r="V375" s="13"/>
      <c r="W375" s="13"/>
      <c r="X375" s="13"/>
      <c r="Y375" s="13"/>
      <c r="Z375" s="13"/>
      <c r="AA375" s="13"/>
      <c r="AB375" s="13"/>
      <c r="AC375" s="13"/>
      <c r="AD375" s="13"/>
      <c r="AE375" s="13"/>
      <c r="AF375" s="13"/>
      <c r="AG375" s="13"/>
      <c r="AH375" s="13"/>
      <c r="AI375" s="13"/>
      <c r="AJ375" s="13"/>
      <c r="AK375" s="13"/>
      <c r="AL375" s="13"/>
      <c r="AM375" s="13"/>
      <c r="AN375" s="13"/>
      <c r="AO375" s="13"/>
      <c r="AP375" s="13"/>
      <c r="AQ375" s="13"/>
      <c r="AR375" s="13"/>
    </row>
    <row r="376" spans="15:44" x14ac:dyDescent="0.2">
      <c r="O376" s="1"/>
      <c r="P376" s="1"/>
      <c r="Q376" s="1"/>
      <c r="R376" s="1"/>
      <c r="S376" s="13"/>
      <c r="T376" s="13"/>
      <c r="U376" s="13"/>
      <c r="V376" s="13"/>
      <c r="W376" s="13"/>
      <c r="X376" s="13"/>
      <c r="Y376" s="13"/>
      <c r="Z376" s="13"/>
      <c r="AA376" s="13"/>
      <c r="AB376" s="13"/>
      <c r="AC376" s="13"/>
      <c r="AD376" s="13"/>
      <c r="AE376" s="13"/>
      <c r="AF376" s="13"/>
      <c r="AG376" s="13"/>
      <c r="AH376" s="13"/>
      <c r="AI376" s="13"/>
      <c r="AJ376" s="13"/>
      <c r="AK376" s="13"/>
      <c r="AL376" s="13"/>
      <c r="AM376" s="13"/>
      <c r="AN376" s="13"/>
      <c r="AO376" s="13"/>
      <c r="AP376" s="13"/>
      <c r="AQ376" s="13"/>
      <c r="AR376" s="13"/>
    </row>
    <row r="377" spans="15:44" x14ac:dyDescent="0.2">
      <c r="O377" s="1"/>
      <c r="P377" s="1"/>
      <c r="Q377" s="1"/>
      <c r="R377" s="1"/>
      <c r="S377" s="13"/>
      <c r="T377" s="13"/>
      <c r="U377" s="13"/>
      <c r="V377" s="13"/>
      <c r="W377" s="13"/>
      <c r="X377" s="13"/>
      <c r="Y377" s="13"/>
      <c r="Z377" s="13"/>
      <c r="AA377" s="13"/>
      <c r="AB377" s="13"/>
      <c r="AC377" s="13"/>
      <c r="AD377" s="13"/>
      <c r="AE377" s="13"/>
      <c r="AF377" s="13"/>
      <c r="AG377" s="13"/>
      <c r="AH377" s="13"/>
      <c r="AI377" s="13"/>
      <c r="AJ377" s="13"/>
      <c r="AK377" s="13"/>
      <c r="AL377" s="13"/>
      <c r="AM377" s="13"/>
      <c r="AN377" s="13"/>
      <c r="AO377" s="13"/>
      <c r="AP377" s="13"/>
      <c r="AQ377" s="13"/>
      <c r="AR377" s="13"/>
    </row>
    <row r="378" spans="15:44" x14ac:dyDescent="0.2">
      <c r="O378" s="1"/>
      <c r="P378" s="1"/>
      <c r="Q378" s="1"/>
      <c r="R378" s="1"/>
      <c r="S378" s="13"/>
      <c r="T378" s="13"/>
      <c r="U378" s="13"/>
      <c r="V378" s="13"/>
      <c r="W378" s="13"/>
      <c r="X378" s="13"/>
      <c r="Y378" s="13"/>
      <c r="Z378" s="13"/>
      <c r="AA378" s="13"/>
      <c r="AB378" s="13"/>
      <c r="AC378" s="13"/>
      <c r="AD378" s="13"/>
      <c r="AE378" s="13"/>
      <c r="AF378" s="13"/>
      <c r="AG378" s="13"/>
      <c r="AH378" s="13"/>
      <c r="AI378" s="13"/>
      <c r="AJ378" s="13"/>
      <c r="AK378" s="13"/>
      <c r="AL378" s="13"/>
      <c r="AM378" s="13"/>
      <c r="AN378" s="13"/>
      <c r="AO378" s="13"/>
      <c r="AP378" s="13"/>
      <c r="AQ378" s="13"/>
      <c r="AR378" s="13"/>
    </row>
    <row r="379" spans="15:44" x14ac:dyDescent="0.2">
      <c r="O379" s="1"/>
      <c r="P379" s="1"/>
      <c r="Q379" s="1"/>
      <c r="R379" s="1"/>
      <c r="S379" s="13"/>
      <c r="T379" s="13"/>
      <c r="U379" s="13"/>
      <c r="V379" s="13"/>
      <c r="W379" s="13"/>
      <c r="X379" s="13"/>
      <c r="Y379" s="13"/>
      <c r="Z379" s="13"/>
      <c r="AA379" s="13"/>
      <c r="AB379" s="13"/>
      <c r="AC379" s="13"/>
      <c r="AD379" s="13"/>
      <c r="AE379" s="13"/>
      <c r="AF379" s="13"/>
      <c r="AG379" s="13"/>
      <c r="AH379" s="13"/>
      <c r="AI379" s="13"/>
      <c r="AJ379" s="13"/>
      <c r="AK379" s="13"/>
      <c r="AL379" s="13"/>
      <c r="AM379" s="13"/>
      <c r="AN379" s="13"/>
      <c r="AO379" s="13"/>
      <c r="AP379" s="13"/>
      <c r="AQ379" s="13"/>
      <c r="AR379" s="13"/>
    </row>
    <row r="380" spans="15:44" x14ac:dyDescent="0.2">
      <c r="O380" s="1"/>
      <c r="P380" s="1"/>
      <c r="Q380" s="1"/>
      <c r="R380" s="1"/>
      <c r="S380" s="13"/>
      <c r="T380" s="13"/>
      <c r="U380" s="13"/>
      <c r="V380" s="13"/>
      <c r="W380" s="13"/>
      <c r="X380" s="13"/>
      <c r="Y380" s="13"/>
      <c r="Z380" s="13"/>
      <c r="AA380" s="13"/>
      <c r="AB380" s="13"/>
      <c r="AC380" s="13"/>
      <c r="AD380" s="13"/>
      <c r="AE380" s="13"/>
      <c r="AF380" s="13"/>
      <c r="AG380" s="13"/>
      <c r="AH380" s="13"/>
      <c r="AI380" s="13"/>
      <c r="AJ380" s="13"/>
      <c r="AK380" s="13"/>
      <c r="AL380" s="13"/>
      <c r="AM380" s="13"/>
      <c r="AN380" s="13"/>
      <c r="AO380" s="13"/>
      <c r="AP380" s="13"/>
      <c r="AQ380" s="13"/>
      <c r="AR380" s="13"/>
    </row>
    <row r="381" spans="15:44" x14ac:dyDescent="0.2">
      <c r="O381" s="1"/>
      <c r="P381" s="1"/>
      <c r="Q381" s="1"/>
      <c r="R381" s="1"/>
      <c r="S381" s="13"/>
      <c r="T381" s="13"/>
      <c r="U381" s="13"/>
      <c r="V381" s="13"/>
      <c r="W381" s="13"/>
      <c r="X381" s="13"/>
      <c r="Y381" s="13"/>
      <c r="Z381" s="13"/>
      <c r="AA381" s="13"/>
      <c r="AB381" s="13"/>
      <c r="AC381" s="13"/>
      <c r="AD381" s="13"/>
      <c r="AE381" s="13"/>
      <c r="AF381" s="13"/>
      <c r="AG381" s="13"/>
      <c r="AH381" s="13"/>
      <c r="AI381" s="13"/>
      <c r="AJ381" s="13"/>
      <c r="AK381" s="13"/>
      <c r="AL381" s="13"/>
      <c r="AM381" s="13"/>
      <c r="AN381" s="13"/>
      <c r="AO381" s="13"/>
      <c r="AP381" s="13"/>
      <c r="AQ381" s="13"/>
      <c r="AR381" s="13"/>
    </row>
    <row r="382" spans="15:44" x14ac:dyDescent="0.2">
      <c r="O382" s="1"/>
      <c r="P382" s="1"/>
      <c r="Q382" s="1"/>
      <c r="R382" s="1"/>
      <c r="S382" s="13"/>
      <c r="T382" s="13"/>
      <c r="U382" s="13"/>
      <c r="V382" s="13"/>
      <c r="W382" s="13"/>
      <c r="X382" s="13"/>
      <c r="Y382" s="13"/>
      <c r="Z382" s="13"/>
      <c r="AA382" s="13"/>
      <c r="AB382" s="13"/>
      <c r="AC382" s="13"/>
      <c r="AD382" s="13"/>
      <c r="AE382" s="13"/>
      <c r="AF382" s="13"/>
      <c r="AG382" s="13"/>
      <c r="AH382" s="13"/>
      <c r="AI382" s="13"/>
      <c r="AJ382" s="13"/>
      <c r="AK382" s="13"/>
      <c r="AL382" s="13"/>
      <c r="AM382" s="13"/>
      <c r="AN382" s="13"/>
      <c r="AO382" s="13"/>
      <c r="AP382" s="13"/>
      <c r="AQ382" s="13"/>
      <c r="AR382" s="13"/>
    </row>
    <row r="383" spans="15:44" x14ac:dyDescent="0.2">
      <c r="O383" s="1"/>
      <c r="P383" s="1"/>
      <c r="Q383" s="1"/>
      <c r="R383" s="1"/>
      <c r="S383" s="13"/>
      <c r="T383" s="13"/>
      <c r="U383" s="13"/>
      <c r="V383" s="13"/>
      <c r="W383" s="13"/>
      <c r="X383" s="13"/>
      <c r="Y383" s="13"/>
      <c r="Z383" s="13"/>
      <c r="AA383" s="13"/>
      <c r="AB383" s="13"/>
      <c r="AC383" s="13"/>
      <c r="AD383" s="13"/>
      <c r="AE383" s="13"/>
      <c r="AF383" s="13"/>
      <c r="AG383" s="13"/>
      <c r="AH383" s="13"/>
      <c r="AI383" s="13"/>
      <c r="AJ383" s="13"/>
      <c r="AK383" s="13"/>
      <c r="AL383" s="13"/>
      <c r="AM383" s="13"/>
      <c r="AN383" s="13"/>
      <c r="AO383" s="13"/>
      <c r="AP383" s="13"/>
      <c r="AQ383" s="13"/>
      <c r="AR383" s="13"/>
    </row>
    <row r="384" spans="15:44" x14ac:dyDescent="0.2">
      <c r="O384" s="1"/>
      <c r="P384" s="1"/>
      <c r="Q384" s="1"/>
      <c r="R384" s="1"/>
      <c r="S384" s="13"/>
      <c r="T384" s="13"/>
      <c r="U384" s="13"/>
      <c r="V384" s="13"/>
      <c r="W384" s="13"/>
      <c r="X384" s="13"/>
      <c r="Y384" s="13"/>
      <c r="Z384" s="13"/>
      <c r="AA384" s="13"/>
      <c r="AB384" s="13"/>
      <c r="AC384" s="13"/>
      <c r="AD384" s="13"/>
      <c r="AE384" s="13"/>
      <c r="AF384" s="13"/>
      <c r="AG384" s="13"/>
      <c r="AH384" s="13"/>
      <c r="AI384" s="13"/>
      <c r="AJ384" s="13"/>
      <c r="AK384" s="13"/>
      <c r="AL384" s="13"/>
      <c r="AM384" s="13"/>
      <c r="AN384" s="13"/>
      <c r="AO384" s="13"/>
      <c r="AP384" s="13"/>
      <c r="AQ384" s="13"/>
      <c r="AR384" s="13"/>
    </row>
    <row r="385" spans="15:44" x14ac:dyDescent="0.2">
      <c r="O385" s="1"/>
      <c r="P385" s="1"/>
      <c r="Q385" s="1"/>
      <c r="R385" s="1"/>
      <c r="S385" s="13"/>
      <c r="T385" s="13"/>
      <c r="U385" s="13"/>
      <c r="V385" s="13"/>
      <c r="W385" s="13"/>
      <c r="X385" s="13"/>
      <c r="Y385" s="13"/>
      <c r="Z385" s="13"/>
      <c r="AA385" s="13"/>
      <c r="AB385" s="13"/>
      <c r="AC385" s="13"/>
      <c r="AD385" s="13"/>
      <c r="AE385" s="13"/>
      <c r="AF385" s="13"/>
      <c r="AG385" s="13"/>
      <c r="AH385" s="13"/>
      <c r="AI385" s="13"/>
      <c r="AJ385" s="13"/>
      <c r="AK385" s="13"/>
      <c r="AL385" s="13"/>
      <c r="AM385" s="13"/>
      <c r="AN385" s="13"/>
      <c r="AO385" s="13"/>
      <c r="AP385" s="13"/>
      <c r="AQ385" s="13"/>
      <c r="AR385" s="13"/>
    </row>
    <row r="386" spans="15:44" x14ac:dyDescent="0.2">
      <c r="O386" s="1"/>
      <c r="P386" s="1"/>
      <c r="Q386" s="1"/>
      <c r="R386" s="1"/>
      <c r="S386" s="13"/>
      <c r="T386" s="13"/>
      <c r="U386" s="13"/>
      <c r="V386" s="13"/>
      <c r="W386" s="13"/>
      <c r="X386" s="13"/>
      <c r="Y386" s="13"/>
      <c r="Z386" s="13"/>
      <c r="AA386" s="13"/>
      <c r="AB386" s="13"/>
      <c r="AC386" s="13"/>
      <c r="AD386" s="13"/>
      <c r="AE386" s="13"/>
      <c r="AF386" s="13"/>
      <c r="AG386" s="13"/>
      <c r="AH386" s="13"/>
      <c r="AI386" s="13"/>
      <c r="AJ386" s="13"/>
      <c r="AK386" s="13"/>
      <c r="AL386" s="13"/>
      <c r="AM386" s="13"/>
      <c r="AN386" s="13"/>
      <c r="AO386" s="13"/>
      <c r="AP386" s="13"/>
      <c r="AQ386" s="13"/>
      <c r="AR386" s="13"/>
    </row>
    <row r="387" spans="15:44" x14ac:dyDescent="0.2">
      <c r="O387" s="1"/>
      <c r="P387" s="1"/>
      <c r="Q387" s="1"/>
      <c r="R387" s="1"/>
      <c r="S387" s="13"/>
      <c r="T387" s="13"/>
      <c r="U387" s="13"/>
      <c r="V387" s="13"/>
      <c r="W387" s="13"/>
      <c r="X387" s="13"/>
      <c r="Y387" s="13"/>
      <c r="Z387" s="13"/>
      <c r="AA387" s="13"/>
      <c r="AB387" s="13"/>
      <c r="AC387" s="13"/>
      <c r="AD387" s="13"/>
      <c r="AE387" s="13"/>
      <c r="AF387" s="13"/>
      <c r="AG387" s="13"/>
      <c r="AH387" s="13"/>
      <c r="AI387" s="13"/>
      <c r="AJ387" s="13"/>
      <c r="AK387" s="13"/>
      <c r="AL387" s="13"/>
      <c r="AM387" s="13"/>
      <c r="AN387" s="13"/>
      <c r="AO387" s="13"/>
      <c r="AP387" s="13"/>
      <c r="AQ387" s="13"/>
      <c r="AR387" s="13"/>
    </row>
    <row r="388" spans="15:44" x14ac:dyDescent="0.2">
      <c r="O388" s="1"/>
      <c r="P388" s="1"/>
      <c r="Q388" s="1"/>
      <c r="R388" s="1"/>
      <c r="S388" s="13"/>
      <c r="T388" s="13"/>
      <c r="U388" s="13"/>
      <c r="V388" s="13"/>
      <c r="W388" s="13"/>
      <c r="X388" s="13"/>
      <c r="Y388" s="13"/>
      <c r="Z388" s="13"/>
      <c r="AA388" s="13"/>
      <c r="AB388" s="13"/>
      <c r="AC388" s="13"/>
      <c r="AD388" s="13"/>
      <c r="AE388" s="13"/>
      <c r="AF388" s="13"/>
      <c r="AG388" s="13"/>
      <c r="AH388" s="13"/>
      <c r="AI388" s="13"/>
      <c r="AJ388" s="13"/>
      <c r="AK388" s="13"/>
      <c r="AL388" s="13"/>
      <c r="AM388" s="13"/>
      <c r="AN388" s="13"/>
      <c r="AO388" s="13"/>
      <c r="AP388" s="13"/>
      <c r="AQ388" s="13"/>
      <c r="AR388" s="13"/>
    </row>
    <row r="389" spans="15:44" x14ac:dyDescent="0.2">
      <c r="O389" s="1"/>
      <c r="P389" s="1"/>
      <c r="Q389" s="1"/>
      <c r="R389" s="1"/>
      <c r="S389" s="13"/>
      <c r="T389" s="13"/>
      <c r="U389" s="13"/>
      <c r="V389" s="13"/>
      <c r="W389" s="13"/>
      <c r="X389" s="13"/>
      <c r="Y389" s="13"/>
      <c r="Z389" s="13"/>
      <c r="AA389" s="13"/>
      <c r="AB389" s="13"/>
      <c r="AC389" s="13"/>
      <c r="AD389" s="13"/>
      <c r="AE389" s="13"/>
      <c r="AF389" s="13"/>
      <c r="AG389" s="13"/>
      <c r="AH389" s="13"/>
      <c r="AI389" s="13"/>
      <c r="AJ389" s="13"/>
      <c r="AK389" s="13"/>
      <c r="AL389" s="13"/>
      <c r="AM389" s="13"/>
      <c r="AN389" s="13"/>
      <c r="AO389" s="13"/>
      <c r="AP389" s="13"/>
      <c r="AQ389" s="13"/>
      <c r="AR389" s="13"/>
    </row>
    <row r="390" spans="15:44" x14ac:dyDescent="0.2">
      <c r="O390" s="1"/>
      <c r="P390" s="1"/>
      <c r="Q390" s="1"/>
      <c r="R390" s="1"/>
      <c r="S390" s="13"/>
      <c r="T390" s="13"/>
      <c r="U390" s="13"/>
      <c r="V390" s="13"/>
      <c r="W390" s="13"/>
      <c r="X390" s="13"/>
      <c r="Y390" s="13"/>
      <c r="Z390" s="13"/>
      <c r="AA390" s="13"/>
      <c r="AB390" s="13"/>
      <c r="AC390" s="13"/>
      <c r="AD390" s="13"/>
      <c r="AE390" s="13"/>
      <c r="AF390" s="13"/>
      <c r="AG390" s="13"/>
      <c r="AH390" s="13"/>
      <c r="AI390" s="13"/>
      <c r="AJ390" s="13"/>
      <c r="AK390" s="13"/>
      <c r="AL390" s="13"/>
      <c r="AM390" s="13"/>
      <c r="AN390" s="13"/>
      <c r="AO390" s="13"/>
      <c r="AP390" s="13"/>
      <c r="AQ390" s="13"/>
      <c r="AR390" s="13"/>
    </row>
    <row r="391" spans="15:44" x14ac:dyDescent="0.2">
      <c r="O391" s="1"/>
      <c r="P391" s="1"/>
      <c r="Q391" s="1"/>
      <c r="R391" s="1"/>
      <c r="S391" s="13"/>
      <c r="T391" s="13"/>
      <c r="U391" s="13"/>
      <c r="V391" s="13"/>
      <c r="W391" s="13"/>
      <c r="X391" s="13"/>
      <c r="Y391" s="13"/>
      <c r="Z391" s="13"/>
      <c r="AA391" s="13"/>
      <c r="AB391" s="13"/>
      <c r="AC391" s="13"/>
      <c r="AD391" s="13"/>
      <c r="AE391" s="13"/>
      <c r="AF391" s="13"/>
      <c r="AG391" s="13"/>
      <c r="AH391" s="13"/>
      <c r="AI391" s="13"/>
      <c r="AJ391" s="13"/>
      <c r="AK391" s="13"/>
      <c r="AL391" s="13"/>
      <c r="AM391" s="13"/>
      <c r="AN391" s="13"/>
      <c r="AO391" s="13"/>
      <c r="AP391" s="13"/>
      <c r="AQ391" s="13"/>
      <c r="AR391" s="13"/>
    </row>
    <row r="392" spans="15:44" x14ac:dyDescent="0.2">
      <c r="O392" s="1"/>
      <c r="P392" s="1"/>
      <c r="Q392" s="1"/>
      <c r="R392" s="1"/>
      <c r="S392" s="13"/>
      <c r="T392" s="13"/>
      <c r="U392" s="13"/>
      <c r="V392" s="13"/>
      <c r="W392" s="13"/>
      <c r="X392" s="13"/>
      <c r="Y392" s="13"/>
      <c r="Z392" s="13"/>
      <c r="AA392" s="13"/>
      <c r="AB392" s="13"/>
      <c r="AC392" s="13"/>
      <c r="AD392" s="13"/>
      <c r="AE392" s="13"/>
      <c r="AF392" s="13"/>
      <c r="AG392" s="13"/>
      <c r="AH392" s="13"/>
      <c r="AI392" s="13"/>
      <c r="AJ392" s="13"/>
      <c r="AK392" s="13"/>
      <c r="AL392" s="13"/>
      <c r="AM392" s="13"/>
      <c r="AN392" s="13"/>
      <c r="AO392" s="13"/>
      <c r="AP392" s="13"/>
      <c r="AQ392" s="13"/>
      <c r="AR392" s="13"/>
    </row>
    <row r="393" spans="15:44" x14ac:dyDescent="0.2">
      <c r="O393" s="1"/>
      <c r="P393" s="1"/>
      <c r="Q393" s="1"/>
      <c r="R393" s="1"/>
      <c r="S393" s="13"/>
      <c r="T393" s="13"/>
      <c r="U393" s="13"/>
      <c r="V393" s="13"/>
      <c r="W393" s="13"/>
      <c r="X393" s="13"/>
      <c r="Y393" s="13"/>
      <c r="Z393" s="13"/>
      <c r="AA393" s="13"/>
      <c r="AB393" s="13"/>
      <c r="AC393" s="13"/>
      <c r="AD393" s="13"/>
      <c r="AE393" s="13"/>
      <c r="AF393" s="13"/>
      <c r="AG393" s="13"/>
      <c r="AH393" s="13"/>
      <c r="AI393" s="13"/>
      <c r="AJ393" s="13"/>
      <c r="AK393" s="13"/>
      <c r="AL393" s="13"/>
      <c r="AM393" s="13"/>
      <c r="AN393" s="13"/>
      <c r="AO393" s="13"/>
      <c r="AP393" s="13"/>
      <c r="AQ393" s="13"/>
      <c r="AR393" s="13"/>
    </row>
    <row r="394" spans="15:44" x14ac:dyDescent="0.2">
      <c r="O394" s="1"/>
      <c r="P394" s="1"/>
      <c r="Q394" s="1"/>
      <c r="R394" s="1"/>
      <c r="S394" s="13"/>
      <c r="T394" s="13"/>
      <c r="U394" s="13"/>
      <c r="V394" s="13"/>
      <c r="W394" s="13"/>
      <c r="X394" s="13"/>
      <c r="Y394" s="13"/>
      <c r="Z394" s="13"/>
      <c r="AA394" s="13"/>
      <c r="AB394" s="13"/>
      <c r="AC394" s="13"/>
      <c r="AD394" s="13"/>
      <c r="AE394" s="13"/>
      <c r="AF394" s="13"/>
      <c r="AG394" s="13"/>
      <c r="AH394" s="13"/>
      <c r="AI394" s="13"/>
      <c r="AJ394" s="13"/>
      <c r="AK394" s="13"/>
      <c r="AL394" s="13"/>
      <c r="AM394" s="13"/>
      <c r="AN394" s="13"/>
      <c r="AO394" s="13"/>
      <c r="AP394" s="13"/>
      <c r="AQ394" s="13"/>
      <c r="AR394" s="13"/>
    </row>
    <row r="395" spans="15:44" x14ac:dyDescent="0.2">
      <c r="O395" s="1"/>
      <c r="P395" s="1"/>
      <c r="Q395" s="1"/>
      <c r="R395" s="1"/>
      <c r="S395" s="13"/>
      <c r="T395" s="13"/>
      <c r="U395" s="13"/>
      <c r="V395" s="13"/>
      <c r="W395" s="13"/>
      <c r="X395" s="13"/>
      <c r="Y395" s="13"/>
      <c r="Z395" s="13"/>
      <c r="AA395" s="13"/>
      <c r="AB395" s="13"/>
      <c r="AC395" s="13"/>
      <c r="AD395" s="13"/>
      <c r="AE395" s="13"/>
      <c r="AF395" s="13"/>
      <c r="AG395" s="13"/>
      <c r="AH395" s="13"/>
      <c r="AI395" s="13"/>
      <c r="AJ395" s="13"/>
      <c r="AK395" s="13"/>
      <c r="AL395" s="13"/>
      <c r="AM395" s="13"/>
      <c r="AN395" s="13"/>
      <c r="AO395" s="13"/>
      <c r="AP395" s="13"/>
      <c r="AQ395" s="13"/>
      <c r="AR395" s="13"/>
    </row>
    <row r="396" spans="15:44" x14ac:dyDescent="0.2">
      <c r="O396" s="1"/>
      <c r="P396" s="1"/>
      <c r="Q396" s="1"/>
      <c r="R396" s="1"/>
      <c r="S396" s="13"/>
      <c r="T396" s="13"/>
      <c r="U396" s="13"/>
      <c r="V396" s="13"/>
      <c r="W396" s="13"/>
      <c r="X396" s="13"/>
      <c r="Y396" s="13"/>
      <c r="Z396" s="13"/>
      <c r="AA396" s="13"/>
      <c r="AB396" s="13"/>
      <c r="AC396" s="13"/>
      <c r="AD396" s="13"/>
      <c r="AE396" s="13"/>
      <c r="AF396" s="13"/>
      <c r="AG396" s="13"/>
      <c r="AH396" s="13"/>
      <c r="AI396" s="13"/>
      <c r="AJ396" s="13"/>
      <c r="AK396" s="13"/>
      <c r="AL396" s="13"/>
      <c r="AM396" s="13"/>
      <c r="AN396" s="13"/>
      <c r="AO396" s="13"/>
      <c r="AP396" s="13"/>
      <c r="AQ396" s="13"/>
      <c r="AR396" s="13"/>
    </row>
    <row r="397" spans="15:44" x14ac:dyDescent="0.2">
      <c r="O397" s="1"/>
      <c r="P397" s="1"/>
      <c r="Q397" s="1"/>
      <c r="R397" s="1"/>
      <c r="S397" s="13"/>
      <c r="T397" s="13"/>
      <c r="U397" s="13"/>
      <c r="V397" s="13"/>
      <c r="W397" s="13"/>
      <c r="X397" s="13"/>
      <c r="Y397" s="13"/>
      <c r="Z397" s="13"/>
      <c r="AA397" s="13"/>
      <c r="AB397" s="13"/>
      <c r="AC397" s="13"/>
      <c r="AD397" s="13"/>
      <c r="AE397" s="13"/>
      <c r="AF397" s="13"/>
      <c r="AG397" s="13"/>
      <c r="AH397" s="13"/>
      <c r="AI397" s="13"/>
      <c r="AJ397" s="13"/>
      <c r="AK397" s="13"/>
      <c r="AL397" s="13"/>
      <c r="AM397" s="13"/>
      <c r="AN397" s="13"/>
      <c r="AO397" s="13"/>
      <c r="AP397" s="13"/>
      <c r="AQ397" s="13"/>
      <c r="AR397" s="13"/>
    </row>
    <row r="398" spans="15:44" x14ac:dyDescent="0.2">
      <c r="O398" s="1"/>
      <c r="P398" s="1"/>
      <c r="Q398" s="1"/>
      <c r="R398" s="1"/>
      <c r="S398" s="13"/>
      <c r="T398" s="13"/>
      <c r="U398" s="13"/>
      <c r="V398" s="13"/>
      <c r="W398" s="13"/>
      <c r="X398" s="13"/>
      <c r="Y398" s="13"/>
      <c r="Z398" s="13"/>
      <c r="AA398" s="13"/>
      <c r="AB398" s="13"/>
      <c r="AC398" s="13"/>
      <c r="AD398" s="13"/>
      <c r="AE398" s="13"/>
      <c r="AF398" s="13"/>
      <c r="AG398" s="13"/>
      <c r="AH398" s="13"/>
      <c r="AI398" s="13"/>
      <c r="AJ398" s="13"/>
      <c r="AK398" s="13"/>
      <c r="AL398" s="13"/>
      <c r="AM398" s="13"/>
      <c r="AN398" s="13"/>
      <c r="AO398" s="13"/>
      <c r="AP398" s="13"/>
      <c r="AQ398" s="13"/>
      <c r="AR398" s="13"/>
    </row>
    <row r="399" spans="15:44" x14ac:dyDescent="0.2">
      <c r="O399" s="1"/>
      <c r="P399" s="1"/>
      <c r="Q399" s="1"/>
      <c r="R399" s="1"/>
      <c r="S399" s="13"/>
      <c r="T399" s="13"/>
      <c r="U399" s="13"/>
      <c r="V399" s="13"/>
      <c r="W399" s="13"/>
      <c r="X399" s="13"/>
      <c r="Y399" s="13"/>
      <c r="Z399" s="13"/>
      <c r="AA399" s="13"/>
      <c r="AB399" s="13"/>
      <c r="AC399" s="13"/>
      <c r="AD399" s="13"/>
      <c r="AE399" s="13"/>
      <c r="AF399" s="13"/>
      <c r="AG399" s="13"/>
      <c r="AH399" s="13"/>
      <c r="AI399" s="13"/>
      <c r="AJ399" s="13"/>
      <c r="AK399" s="13"/>
      <c r="AL399" s="13"/>
      <c r="AM399" s="13"/>
      <c r="AN399" s="13"/>
      <c r="AO399" s="13"/>
      <c r="AP399" s="13"/>
      <c r="AQ399" s="13"/>
      <c r="AR399" s="13"/>
    </row>
    <row r="400" spans="15:44" x14ac:dyDescent="0.2">
      <c r="O400" s="1"/>
      <c r="P400" s="1"/>
      <c r="Q400" s="1"/>
      <c r="R400" s="1"/>
      <c r="S400" s="13"/>
      <c r="T400" s="13"/>
      <c r="U400" s="13"/>
      <c r="V400" s="13"/>
      <c r="W400" s="13"/>
      <c r="X400" s="13"/>
      <c r="Y400" s="13"/>
      <c r="Z400" s="13"/>
      <c r="AA400" s="13"/>
      <c r="AB400" s="13"/>
      <c r="AC400" s="13"/>
      <c r="AD400" s="13"/>
      <c r="AE400" s="13"/>
      <c r="AF400" s="13"/>
      <c r="AG400" s="13"/>
      <c r="AH400" s="13"/>
      <c r="AI400" s="13"/>
      <c r="AJ400" s="13"/>
      <c r="AK400" s="13"/>
      <c r="AL400" s="13"/>
      <c r="AM400" s="13"/>
      <c r="AN400" s="13"/>
      <c r="AO400" s="13"/>
      <c r="AP400" s="13"/>
      <c r="AQ400" s="13"/>
      <c r="AR400" s="13"/>
    </row>
    <row r="401" spans="15:44" x14ac:dyDescent="0.2">
      <c r="O401" s="1"/>
      <c r="P401" s="1"/>
      <c r="Q401" s="1"/>
      <c r="R401" s="1"/>
      <c r="S401" s="13"/>
      <c r="T401" s="13"/>
      <c r="U401" s="13"/>
      <c r="V401" s="13"/>
      <c r="W401" s="13"/>
      <c r="X401" s="13"/>
      <c r="Y401" s="13"/>
      <c r="Z401" s="13"/>
      <c r="AA401" s="13"/>
      <c r="AB401" s="13"/>
      <c r="AC401" s="13"/>
      <c r="AD401" s="13"/>
      <c r="AE401" s="13"/>
      <c r="AF401" s="13"/>
      <c r="AG401" s="13"/>
      <c r="AH401" s="13"/>
      <c r="AI401" s="13"/>
      <c r="AJ401" s="13"/>
      <c r="AK401" s="13"/>
      <c r="AL401" s="13"/>
      <c r="AM401" s="13"/>
      <c r="AN401" s="13"/>
      <c r="AO401" s="13"/>
      <c r="AP401" s="13"/>
      <c r="AQ401" s="13"/>
      <c r="AR401" s="13"/>
    </row>
    <row r="402" spans="15:44" x14ac:dyDescent="0.2">
      <c r="O402" s="1"/>
      <c r="P402" s="1"/>
      <c r="Q402" s="1"/>
      <c r="R402" s="1"/>
      <c r="S402" s="13"/>
      <c r="T402" s="13"/>
      <c r="U402" s="13"/>
      <c r="V402" s="13"/>
      <c r="W402" s="13"/>
      <c r="X402" s="13"/>
      <c r="Y402" s="13"/>
      <c r="Z402" s="13"/>
      <c r="AA402" s="13"/>
      <c r="AB402" s="13"/>
      <c r="AC402" s="13"/>
      <c r="AD402" s="13"/>
      <c r="AE402" s="13"/>
      <c r="AF402" s="13"/>
      <c r="AG402" s="13"/>
      <c r="AH402" s="13"/>
      <c r="AI402" s="13"/>
      <c r="AJ402" s="13"/>
      <c r="AK402" s="13"/>
      <c r="AL402" s="13"/>
      <c r="AM402" s="13"/>
      <c r="AN402" s="13"/>
      <c r="AO402" s="13"/>
      <c r="AP402" s="13"/>
      <c r="AQ402" s="13"/>
      <c r="AR402" s="13"/>
    </row>
    <row r="403" spans="15:44" x14ac:dyDescent="0.2">
      <c r="O403" s="1"/>
      <c r="P403" s="1"/>
      <c r="Q403" s="1"/>
      <c r="R403" s="1"/>
      <c r="S403" s="13"/>
      <c r="T403" s="13"/>
      <c r="U403" s="13"/>
      <c r="V403" s="13"/>
      <c r="W403" s="13"/>
      <c r="X403" s="13"/>
      <c r="Y403" s="13"/>
      <c r="Z403" s="13"/>
      <c r="AA403" s="13"/>
      <c r="AB403" s="13"/>
      <c r="AC403" s="13"/>
      <c r="AD403" s="13"/>
      <c r="AE403" s="13"/>
      <c r="AF403" s="13"/>
      <c r="AG403" s="13"/>
      <c r="AH403" s="13"/>
      <c r="AI403" s="13"/>
      <c r="AJ403" s="13"/>
      <c r="AK403" s="13"/>
      <c r="AL403" s="13"/>
      <c r="AM403" s="13"/>
      <c r="AN403" s="13"/>
      <c r="AO403" s="13"/>
      <c r="AP403" s="13"/>
      <c r="AQ403" s="13"/>
      <c r="AR403" s="13"/>
    </row>
    <row r="404" spans="15:44" x14ac:dyDescent="0.2">
      <c r="O404" s="1"/>
      <c r="P404" s="1"/>
      <c r="Q404" s="1"/>
      <c r="R404" s="1"/>
      <c r="S404" s="13"/>
      <c r="T404" s="13"/>
      <c r="U404" s="13"/>
      <c r="V404" s="13"/>
      <c r="W404" s="13"/>
      <c r="X404" s="13"/>
      <c r="Y404" s="13"/>
      <c r="Z404" s="13"/>
      <c r="AA404" s="13"/>
      <c r="AB404" s="13"/>
      <c r="AC404" s="13"/>
      <c r="AD404" s="13"/>
      <c r="AE404" s="13"/>
      <c r="AF404" s="13"/>
      <c r="AG404" s="13"/>
      <c r="AH404" s="13"/>
      <c r="AI404" s="13"/>
      <c r="AJ404" s="13"/>
      <c r="AK404" s="13"/>
      <c r="AL404" s="13"/>
      <c r="AM404" s="13"/>
      <c r="AN404" s="13"/>
      <c r="AO404" s="13"/>
      <c r="AP404" s="13"/>
      <c r="AQ404" s="13"/>
      <c r="AR404" s="13"/>
    </row>
    <row r="405" spans="15:44" x14ac:dyDescent="0.2">
      <c r="O405" s="1"/>
      <c r="P405" s="1"/>
      <c r="Q405" s="1"/>
      <c r="R405" s="1"/>
      <c r="S405" s="13"/>
      <c r="T405" s="13"/>
      <c r="U405" s="13"/>
      <c r="V405" s="13"/>
      <c r="W405" s="13"/>
      <c r="X405" s="13"/>
      <c r="Y405" s="13"/>
      <c r="Z405" s="13"/>
      <c r="AA405" s="13"/>
      <c r="AB405" s="13"/>
      <c r="AC405" s="13"/>
      <c r="AD405" s="13"/>
      <c r="AE405" s="13"/>
      <c r="AF405" s="13"/>
      <c r="AG405" s="13"/>
      <c r="AH405" s="13"/>
      <c r="AI405" s="13"/>
      <c r="AJ405" s="13"/>
      <c r="AK405" s="13"/>
      <c r="AL405" s="13"/>
      <c r="AM405" s="13"/>
      <c r="AN405" s="13"/>
      <c r="AO405" s="13"/>
      <c r="AP405" s="13"/>
      <c r="AQ405" s="13"/>
      <c r="AR405" s="13"/>
    </row>
    <row r="406" spans="15:44" x14ac:dyDescent="0.2">
      <c r="O406" s="1"/>
      <c r="P406" s="1"/>
      <c r="Q406" s="1"/>
      <c r="R406" s="1"/>
      <c r="S406" s="13"/>
      <c r="T406" s="13"/>
      <c r="U406" s="13"/>
      <c r="V406" s="13"/>
      <c r="W406" s="13"/>
      <c r="X406" s="13"/>
      <c r="Y406" s="13"/>
      <c r="Z406" s="13"/>
      <c r="AA406" s="13"/>
      <c r="AB406" s="13"/>
      <c r="AC406" s="13"/>
      <c r="AD406" s="13"/>
      <c r="AE406" s="13"/>
      <c r="AF406" s="13"/>
      <c r="AG406" s="13"/>
      <c r="AH406" s="13"/>
      <c r="AI406" s="13"/>
      <c r="AJ406" s="13"/>
      <c r="AK406" s="13"/>
      <c r="AL406" s="13"/>
      <c r="AM406" s="13"/>
      <c r="AN406" s="13"/>
      <c r="AO406" s="13"/>
      <c r="AP406" s="13"/>
      <c r="AQ406" s="13"/>
      <c r="AR406" s="13"/>
    </row>
    <row r="407" spans="15:44" x14ac:dyDescent="0.2">
      <c r="O407" s="1"/>
      <c r="P407" s="1"/>
      <c r="Q407" s="1"/>
      <c r="R407" s="1"/>
      <c r="S407" s="13"/>
      <c r="T407" s="13"/>
      <c r="U407" s="13"/>
      <c r="V407" s="13"/>
      <c r="W407" s="13"/>
      <c r="X407" s="13"/>
      <c r="Y407" s="13"/>
      <c r="Z407" s="13"/>
      <c r="AA407" s="13"/>
      <c r="AB407" s="13"/>
      <c r="AC407" s="13"/>
      <c r="AD407" s="13"/>
      <c r="AE407" s="13"/>
      <c r="AF407" s="13"/>
      <c r="AG407" s="13"/>
      <c r="AH407" s="13"/>
      <c r="AI407" s="13"/>
      <c r="AJ407" s="13"/>
      <c r="AK407" s="13"/>
      <c r="AL407" s="13"/>
      <c r="AM407" s="13"/>
      <c r="AN407" s="13"/>
      <c r="AO407" s="13"/>
      <c r="AP407" s="13"/>
      <c r="AQ407" s="13"/>
      <c r="AR407" s="13"/>
    </row>
    <row r="408" spans="15:44" x14ac:dyDescent="0.2">
      <c r="O408" s="1"/>
      <c r="P408" s="1"/>
      <c r="Q408" s="1"/>
      <c r="R408" s="1"/>
      <c r="S408" s="13"/>
      <c r="T408" s="13"/>
      <c r="U408" s="13"/>
      <c r="V408" s="13"/>
      <c r="W408" s="13"/>
      <c r="X408" s="13"/>
      <c r="Y408" s="13"/>
      <c r="Z408" s="13"/>
      <c r="AA408" s="13"/>
      <c r="AB408" s="13"/>
      <c r="AC408" s="13"/>
      <c r="AD408" s="13"/>
      <c r="AE408" s="13"/>
      <c r="AF408" s="13"/>
      <c r="AG408" s="13"/>
      <c r="AH408" s="13"/>
      <c r="AI408" s="13"/>
      <c r="AJ408" s="13"/>
      <c r="AK408" s="13"/>
      <c r="AL408" s="13"/>
      <c r="AM408" s="13"/>
      <c r="AN408" s="13"/>
      <c r="AO408" s="13"/>
      <c r="AP408" s="13"/>
      <c r="AQ408" s="13"/>
      <c r="AR408" s="13"/>
    </row>
    <row r="409" spans="15:44" x14ac:dyDescent="0.2">
      <c r="O409" s="1"/>
      <c r="P409" s="1"/>
      <c r="Q409" s="1"/>
      <c r="R409" s="1"/>
      <c r="S409" s="13"/>
      <c r="T409" s="13"/>
      <c r="U409" s="13"/>
      <c r="V409" s="13"/>
      <c r="W409" s="13"/>
      <c r="X409" s="13"/>
      <c r="Y409" s="13"/>
      <c r="Z409" s="13"/>
      <c r="AA409" s="13"/>
      <c r="AB409" s="13"/>
      <c r="AC409" s="13"/>
      <c r="AD409" s="13"/>
      <c r="AE409" s="13"/>
      <c r="AF409" s="13"/>
      <c r="AG409" s="13"/>
      <c r="AH409" s="13"/>
      <c r="AI409" s="13"/>
      <c r="AJ409" s="13"/>
      <c r="AK409" s="13"/>
      <c r="AL409" s="13"/>
      <c r="AM409" s="13"/>
      <c r="AN409" s="13"/>
      <c r="AO409" s="13"/>
      <c r="AP409" s="13"/>
      <c r="AQ409" s="13"/>
      <c r="AR409" s="13"/>
    </row>
    <row r="410" spans="15:44" x14ac:dyDescent="0.2">
      <c r="O410" s="1"/>
      <c r="P410" s="1"/>
      <c r="Q410" s="1"/>
      <c r="R410" s="1"/>
      <c r="S410" s="13"/>
      <c r="T410" s="13"/>
      <c r="U410" s="13"/>
      <c r="V410" s="13"/>
      <c r="W410" s="13"/>
      <c r="X410" s="13"/>
      <c r="Y410" s="13"/>
      <c r="Z410" s="13"/>
      <c r="AA410" s="13"/>
      <c r="AB410" s="13"/>
      <c r="AC410" s="13"/>
      <c r="AD410" s="13"/>
      <c r="AE410" s="13"/>
      <c r="AF410" s="13"/>
      <c r="AG410" s="13"/>
      <c r="AH410" s="13"/>
      <c r="AI410" s="13"/>
      <c r="AJ410" s="13"/>
      <c r="AK410" s="13"/>
      <c r="AL410" s="13"/>
      <c r="AM410" s="13"/>
      <c r="AN410" s="13"/>
      <c r="AO410" s="13"/>
      <c r="AP410" s="13"/>
      <c r="AQ410" s="13"/>
      <c r="AR410" s="13"/>
    </row>
    <row r="411" spans="15:44" x14ac:dyDescent="0.2">
      <c r="O411" s="1"/>
      <c r="P411" s="1"/>
      <c r="Q411" s="1"/>
      <c r="R411" s="1"/>
      <c r="S411" s="13"/>
      <c r="T411" s="13"/>
      <c r="U411" s="13"/>
      <c r="V411" s="13"/>
      <c r="W411" s="13"/>
      <c r="X411" s="13"/>
      <c r="Y411" s="13"/>
      <c r="Z411" s="13"/>
      <c r="AA411" s="13"/>
      <c r="AB411" s="13"/>
      <c r="AC411" s="13"/>
      <c r="AD411" s="13"/>
      <c r="AE411" s="13"/>
      <c r="AF411" s="13"/>
      <c r="AG411" s="13"/>
      <c r="AH411" s="13"/>
      <c r="AI411" s="13"/>
      <c r="AJ411" s="13"/>
      <c r="AK411" s="13"/>
      <c r="AL411" s="13"/>
      <c r="AM411" s="13"/>
      <c r="AN411" s="13"/>
      <c r="AO411" s="13"/>
      <c r="AP411" s="13"/>
      <c r="AQ411" s="13"/>
      <c r="AR411" s="13"/>
    </row>
    <row r="412" spans="15:44" x14ac:dyDescent="0.2">
      <c r="O412" s="1"/>
      <c r="P412" s="1"/>
      <c r="Q412" s="1"/>
      <c r="R412" s="1"/>
      <c r="S412" s="13"/>
      <c r="T412" s="13"/>
      <c r="U412" s="13"/>
      <c r="V412" s="13"/>
      <c r="W412" s="13"/>
      <c r="X412" s="13"/>
      <c r="Y412" s="13"/>
      <c r="Z412" s="13"/>
      <c r="AA412" s="13"/>
      <c r="AB412" s="13"/>
      <c r="AC412" s="13"/>
      <c r="AD412" s="13"/>
      <c r="AE412" s="13"/>
      <c r="AF412" s="13"/>
      <c r="AG412" s="13"/>
      <c r="AH412" s="13"/>
      <c r="AI412" s="13"/>
      <c r="AJ412" s="13"/>
      <c r="AK412" s="13"/>
      <c r="AL412" s="13"/>
      <c r="AM412" s="13"/>
      <c r="AN412" s="13"/>
      <c r="AO412" s="13"/>
      <c r="AP412" s="13"/>
      <c r="AQ412" s="13"/>
      <c r="AR412" s="13"/>
    </row>
    <row r="413" spans="15:44" x14ac:dyDescent="0.2">
      <c r="O413" s="1"/>
      <c r="P413" s="1"/>
      <c r="Q413" s="1"/>
      <c r="R413" s="1"/>
      <c r="S413" s="13"/>
      <c r="T413" s="13"/>
      <c r="U413" s="13"/>
      <c r="V413" s="13"/>
      <c r="W413" s="13"/>
      <c r="X413" s="13"/>
      <c r="Y413" s="13"/>
      <c r="Z413" s="13"/>
      <c r="AA413" s="13"/>
      <c r="AB413" s="13"/>
      <c r="AC413" s="13"/>
      <c r="AD413" s="13"/>
      <c r="AE413" s="13"/>
      <c r="AF413" s="13"/>
      <c r="AG413" s="13"/>
      <c r="AH413" s="13"/>
      <c r="AI413" s="13"/>
      <c r="AJ413" s="13"/>
      <c r="AK413" s="13"/>
      <c r="AL413" s="13"/>
      <c r="AM413" s="13"/>
      <c r="AN413" s="13"/>
      <c r="AO413" s="13"/>
      <c r="AP413" s="13"/>
      <c r="AQ413" s="13"/>
      <c r="AR413" s="13"/>
    </row>
    <row r="414" spans="15:44" x14ac:dyDescent="0.2">
      <c r="O414" s="1"/>
      <c r="P414" s="1"/>
      <c r="Q414" s="1"/>
      <c r="R414" s="1"/>
      <c r="S414" s="13"/>
      <c r="T414" s="13"/>
      <c r="U414" s="13"/>
      <c r="V414" s="13"/>
      <c r="W414" s="13"/>
      <c r="X414" s="13"/>
      <c r="Y414" s="13"/>
      <c r="Z414" s="13"/>
      <c r="AA414" s="13"/>
      <c r="AB414" s="13"/>
      <c r="AC414" s="13"/>
      <c r="AD414" s="13"/>
      <c r="AE414" s="13"/>
      <c r="AF414" s="13"/>
      <c r="AG414" s="13"/>
      <c r="AH414" s="13"/>
      <c r="AI414" s="13"/>
      <c r="AJ414" s="13"/>
      <c r="AK414" s="13"/>
      <c r="AL414" s="13"/>
      <c r="AM414" s="13"/>
      <c r="AN414" s="13"/>
      <c r="AO414" s="13"/>
      <c r="AP414" s="13"/>
      <c r="AQ414" s="13"/>
      <c r="AR414" s="13"/>
    </row>
    <row r="415" spans="15:44" x14ac:dyDescent="0.2">
      <c r="O415" s="1"/>
      <c r="P415" s="1"/>
      <c r="Q415" s="1"/>
      <c r="R415" s="1"/>
      <c r="S415" s="13"/>
      <c r="T415" s="13"/>
      <c r="U415" s="13"/>
      <c r="V415" s="13"/>
      <c r="W415" s="13"/>
      <c r="X415" s="13"/>
      <c r="Y415" s="13"/>
      <c r="Z415" s="13"/>
      <c r="AA415" s="13"/>
      <c r="AB415" s="13"/>
      <c r="AC415" s="13"/>
      <c r="AD415" s="13"/>
      <c r="AE415" s="13"/>
      <c r="AF415" s="13"/>
      <c r="AG415" s="13"/>
      <c r="AH415" s="13"/>
      <c r="AI415" s="13"/>
      <c r="AJ415" s="13"/>
      <c r="AK415" s="13"/>
      <c r="AL415" s="13"/>
      <c r="AM415" s="13"/>
      <c r="AN415" s="13"/>
      <c r="AO415" s="13"/>
      <c r="AP415" s="13"/>
      <c r="AQ415" s="13"/>
      <c r="AR415" s="13"/>
    </row>
    <row r="416" spans="15:44" x14ac:dyDescent="0.2">
      <c r="O416" s="1"/>
      <c r="P416" s="1"/>
      <c r="Q416" s="1"/>
      <c r="R416" s="1"/>
      <c r="S416" s="13"/>
      <c r="T416" s="13"/>
      <c r="U416" s="13"/>
      <c r="V416" s="13"/>
      <c r="W416" s="13"/>
      <c r="X416" s="13"/>
      <c r="Y416" s="13"/>
      <c r="Z416" s="13"/>
      <c r="AA416" s="13"/>
      <c r="AB416" s="13"/>
      <c r="AC416" s="13"/>
      <c r="AD416" s="13"/>
      <c r="AE416" s="13"/>
      <c r="AF416" s="13"/>
      <c r="AG416" s="13"/>
      <c r="AH416" s="13"/>
      <c r="AI416" s="13"/>
      <c r="AJ416" s="13"/>
      <c r="AK416" s="13"/>
      <c r="AL416" s="13"/>
      <c r="AM416" s="13"/>
      <c r="AN416" s="13"/>
      <c r="AO416" s="13"/>
      <c r="AP416" s="13"/>
      <c r="AQ416" s="13"/>
      <c r="AR416" s="13"/>
    </row>
    <row r="417" spans="15:44" x14ac:dyDescent="0.2">
      <c r="O417" s="1"/>
      <c r="P417" s="1"/>
      <c r="Q417" s="1"/>
      <c r="R417" s="1"/>
      <c r="S417" s="13"/>
      <c r="T417" s="13"/>
      <c r="U417" s="13"/>
      <c r="V417" s="13"/>
      <c r="W417" s="13"/>
      <c r="X417" s="13"/>
      <c r="Y417" s="13"/>
      <c r="Z417" s="13"/>
      <c r="AA417" s="13"/>
      <c r="AB417" s="13"/>
      <c r="AC417" s="13"/>
      <c r="AD417" s="13"/>
      <c r="AE417" s="13"/>
      <c r="AF417" s="13"/>
      <c r="AG417" s="13"/>
      <c r="AH417" s="13"/>
      <c r="AI417" s="13"/>
      <c r="AJ417" s="13"/>
      <c r="AK417" s="13"/>
      <c r="AL417" s="13"/>
      <c r="AM417" s="13"/>
      <c r="AN417" s="13"/>
      <c r="AO417" s="13"/>
      <c r="AP417" s="13"/>
      <c r="AQ417" s="13"/>
      <c r="AR417" s="13"/>
    </row>
    <row r="418" spans="15:44" x14ac:dyDescent="0.2">
      <c r="O418" s="1"/>
      <c r="P418" s="1"/>
      <c r="Q418" s="1"/>
      <c r="R418" s="1"/>
      <c r="S418" s="13"/>
      <c r="T418" s="13"/>
      <c r="U418" s="13"/>
      <c r="V418" s="13"/>
      <c r="W418" s="13"/>
      <c r="X418" s="13"/>
      <c r="Y418" s="13"/>
      <c r="Z418" s="13"/>
      <c r="AA418" s="13"/>
      <c r="AB418" s="13"/>
      <c r="AC418" s="13"/>
      <c r="AD418" s="13"/>
      <c r="AE418" s="13"/>
      <c r="AF418" s="13"/>
      <c r="AG418" s="13"/>
      <c r="AH418" s="13"/>
      <c r="AI418" s="13"/>
      <c r="AJ418" s="13"/>
      <c r="AK418" s="13"/>
      <c r="AL418" s="13"/>
      <c r="AM418" s="13"/>
      <c r="AN418" s="13"/>
      <c r="AO418" s="13"/>
      <c r="AP418" s="13"/>
      <c r="AQ418" s="13"/>
      <c r="AR418" s="13"/>
    </row>
    <row r="419" spans="15:44" x14ac:dyDescent="0.2">
      <c r="O419" s="1"/>
      <c r="P419" s="1"/>
      <c r="Q419" s="1"/>
      <c r="R419" s="1"/>
      <c r="S419" s="13"/>
      <c r="T419" s="13"/>
      <c r="U419" s="13"/>
      <c r="V419" s="13"/>
      <c r="W419" s="13"/>
      <c r="X419" s="13"/>
      <c r="Y419" s="13"/>
      <c r="Z419" s="13"/>
      <c r="AA419" s="13"/>
      <c r="AB419" s="13"/>
      <c r="AC419" s="13"/>
      <c r="AD419" s="13"/>
      <c r="AE419" s="13"/>
      <c r="AF419" s="13"/>
      <c r="AG419" s="13"/>
      <c r="AH419" s="13"/>
      <c r="AI419" s="13"/>
      <c r="AJ419" s="13"/>
      <c r="AK419" s="13"/>
      <c r="AL419" s="13"/>
      <c r="AM419" s="13"/>
      <c r="AN419" s="13"/>
      <c r="AO419" s="13"/>
      <c r="AP419" s="13"/>
      <c r="AQ419" s="13"/>
      <c r="AR419" s="13"/>
    </row>
    <row r="420" spans="15:44" x14ac:dyDescent="0.2">
      <c r="O420" s="1"/>
      <c r="P420" s="1"/>
      <c r="Q420" s="1"/>
      <c r="R420" s="1"/>
      <c r="S420" s="13"/>
      <c r="T420" s="13"/>
      <c r="U420" s="13"/>
      <c r="V420" s="13"/>
      <c r="W420" s="13"/>
      <c r="X420" s="13"/>
      <c r="Y420" s="13"/>
      <c r="Z420" s="13"/>
      <c r="AA420" s="13"/>
      <c r="AB420" s="13"/>
      <c r="AC420" s="13"/>
      <c r="AD420" s="13"/>
      <c r="AE420" s="13"/>
      <c r="AF420" s="13"/>
      <c r="AG420" s="13"/>
      <c r="AH420" s="13"/>
      <c r="AI420" s="13"/>
      <c r="AJ420" s="13"/>
      <c r="AK420" s="13"/>
      <c r="AL420" s="13"/>
      <c r="AM420" s="13"/>
      <c r="AN420" s="13"/>
      <c r="AO420" s="13"/>
      <c r="AP420" s="13"/>
      <c r="AQ420" s="13"/>
      <c r="AR420" s="13"/>
    </row>
    <row r="421" spans="15:44" x14ac:dyDescent="0.2">
      <c r="O421" s="1"/>
      <c r="P421" s="1"/>
      <c r="Q421" s="1"/>
      <c r="R421" s="1"/>
      <c r="S421" s="13"/>
      <c r="T421" s="13"/>
      <c r="U421" s="13"/>
      <c r="V421" s="13"/>
      <c r="W421" s="13"/>
      <c r="X421" s="13"/>
      <c r="Y421" s="13"/>
      <c r="Z421" s="13"/>
      <c r="AA421" s="13"/>
      <c r="AB421" s="13"/>
      <c r="AC421" s="13"/>
      <c r="AD421" s="13"/>
      <c r="AE421" s="13"/>
      <c r="AF421" s="13"/>
      <c r="AG421" s="13"/>
      <c r="AH421" s="13"/>
      <c r="AI421" s="13"/>
      <c r="AJ421" s="13"/>
      <c r="AK421" s="13"/>
      <c r="AL421" s="13"/>
      <c r="AM421" s="13"/>
      <c r="AN421" s="13"/>
      <c r="AO421" s="13"/>
      <c r="AP421" s="13"/>
      <c r="AQ421" s="13"/>
      <c r="AR421" s="13"/>
    </row>
    <row r="422" spans="15:44" x14ac:dyDescent="0.2">
      <c r="O422" s="1"/>
      <c r="P422" s="1"/>
      <c r="Q422" s="1"/>
      <c r="R422" s="1"/>
      <c r="S422" s="13"/>
      <c r="T422" s="13"/>
      <c r="U422" s="13"/>
      <c r="V422" s="13"/>
      <c r="W422" s="13"/>
      <c r="X422" s="13"/>
      <c r="Y422" s="13"/>
      <c r="Z422" s="13"/>
      <c r="AA422" s="13"/>
      <c r="AB422" s="13"/>
      <c r="AC422" s="13"/>
      <c r="AD422" s="13"/>
      <c r="AE422" s="13"/>
      <c r="AF422" s="13"/>
      <c r="AG422" s="13"/>
      <c r="AH422" s="13"/>
      <c r="AI422" s="13"/>
      <c r="AJ422" s="13"/>
      <c r="AK422" s="13"/>
      <c r="AL422" s="13"/>
      <c r="AM422" s="13"/>
      <c r="AN422" s="13"/>
      <c r="AO422" s="13"/>
      <c r="AP422" s="13"/>
      <c r="AQ422" s="13"/>
      <c r="AR422" s="13"/>
    </row>
    <row r="423" spans="15:44" x14ac:dyDescent="0.2">
      <c r="O423" s="1"/>
      <c r="P423" s="1"/>
      <c r="Q423" s="1"/>
      <c r="R423" s="1"/>
      <c r="S423" s="13"/>
      <c r="T423" s="13"/>
      <c r="U423" s="13"/>
      <c r="V423" s="13"/>
      <c r="W423" s="13"/>
      <c r="X423" s="13"/>
      <c r="Y423" s="13"/>
      <c r="Z423" s="13"/>
      <c r="AA423" s="13"/>
      <c r="AB423" s="13"/>
      <c r="AC423" s="13"/>
      <c r="AD423" s="13"/>
      <c r="AE423" s="13"/>
      <c r="AF423" s="13"/>
      <c r="AG423" s="13"/>
      <c r="AH423" s="13"/>
      <c r="AI423" s="13"/>
      <c r="AJ423" s="13"/>
      <c r="AK423" s="13"/>
      <c r="AL423" s="13"/>
      <c r="AM423" s="13"/>
      <c r="AN423" s="13"/>
      <c r="AO423" s="13"/>
      <c r="AP423" s="13"/>
      <c r="AQ423" s="13"/>
      <c r="AR423" s="13"/>
    </row>
    <row r="424" spans="15:44" x14ac:dyDescent="0.2">
      <c r="O424" s="1"/>
      <c r="P424" s="1"/>
      <c r="Q424" s="1"/>
      <c r="R424" s="1"/>
      <c r="S424" s="13"/>
      <c r="T424" s="13"/>
      <c r="U424" s="13"/>
      <c r="V424" s="13"/>
      <c r="W424" s="13"/>
      <c r="X424" s="13"/>
      <c r="Y424" s="13"/>
      <c r="Z424" s="13"/>
      <c r="AA424" s="13"/>
      <c r="AB424" s="13"/>
      <c r="AC424" s="13"/>
      <c r="AD424" s="13"/>
      <c r="AE424" s="13"/>
      <c r="AF424" s="13"/>
      <c r="AG424" s="13"/>
      <c r="AH424" s="13"/>
      <c r="AI424" s="13"/>
      <c r="AJ424" s="13"/>
      <c r="AK424" s="13"/>
      <c r="AL424" s="13"/>
      <c r="AM424" s="13"/>
      <c r="AN424" s="13"/>
      <c r="AO424" s="13"/>
      <c r="AP424" s="13"/>
      <c r="AQ424" s="13"/>
      <c r="AR424" s="13"/>
    </row>
    <row r="425" spans="15:44" x14ac:dyDescent="0.2">
      <c r="O425" s="1"/>
      <c r="P425" s="1"/>
      <c r="Q425" s="1"/>
      <c r="R425" s="1"/>
      <c r="S425" s="13"/>
      <c r="T425" s="13"/>
      <c r="U425" s="13"/>
      <c r="V425" s="13"/>
      <c r="W425" s="13"/>
      <c r="X425" s="13"/>
      <c r="Y425" s="13"/>
      <c r="Z425" s="13"/>
      <c r="AA425" s="13"/>
      <c r="AB425" s="13"/>
      <c r="AC425" s="13"/>
      <c r="AD425" s="13"/>
      <c r="AE425" s="13"/>
      <c r="AF425" s="13"/>
      <c r="AG425" s="13"/>
      <c r="AH425" s="13"/>
      <c r="AI425" s="13"/>
      <c r="AJ425" s="13"/>
      <c r="AK425" s="13"/>
      <c r="AL425" s="13"/>
      <c r="AM425" s="13"/>
      <c r="AN425" s="13"/>
      <c r="AO425" s="13"/>
      <c r="AP425" s="13"/>
      <c r="AQ425" s="13"/>
      <c r="AR425" s="13"/>
    </row>
    <row r="426" spans="15:44" x14ac:dyDescent="0.2">
      <c r="O426" s="1"/>
      <c r="P426" s="1"/>
      <c r="Q426" s="1"/>
      <c r="R426" s="1"/>
      <c r="S426" s="13"/>
      <c r="T426" s="13"/>
      <c r="U426" s="13"/>
      <c r="V426" s="13"/>
      <c r="W426" s="13"/>
      <c r="X426" s="13"/>
      <c r="Y426" s="13"/>
      <c r="Z426" s="13"/>
      <c r="AA426" s="13"/>
      <c r="AB426" s="13"/>
      <c r="AC426" s="13"/>
      <c r="AD426" s="13"/>
      <c r="AE426" s="13"/>
      <c r="AF426" s="13"/>
      <c r="AG426" s="13"/>
      <c r="AH426" s="13"/>
      <c r="AI426" s="13"/>
      <c r="AJ426" s="13"/>
      <c r="AK426" s="13"/>
      <c r="AL426" s="13"/>
      <c r="AM426" s="13"/>
      <c r="AN426" s="13"/>
      <c r="AO426" s="13"/>
      <c r="AP426" s="13"/>
      <c r="AQ426" s="13"/>
      <c r="AR426" s="13"/>
    </row>
    <row r="427" spans="15:44" x14ac:dyDescent="0.2">
      <c r="O427" s="1"/>
      <c r="P427" s="1"/>
      <c r="Q427" s="1"/>
      <c r="R427" s="1"/>
      <c r="S427" s="13"/>
      <c r="T427" s="13"/>
      <c r="U427" s="13"/>
      <c r="V427" s="13"/>
      <c r="W427" s="13"/>
      <c r="X427" s="13"/>
      <c r="Y427" s="13"/>
      <c r="Z427" s="13"/>
      <c r="AA427" s="13"/>
      <c r="AB427" s="13"/>
      <c r="AC427" s="13"/>
      <c r="AD427" s="13"/>
      <c r="AE427" s="13"/>
      <c r="AF427" s="13"/>
      <c r="AG427" s="13"/>
      <c r="AH427" s="13"/>
      <c r="AI427" s="13"/>
      <c r="AJ427" s="13"/>
      <c r="AK427" s="13"/>
      <c r="AL427" s="13"/>
      <c r="AM427" s="13"/>
      <c r="AN427" s="13"/>
      <c r="AO427" s="13"/>
      <c r="AP427" s="13"/>
      <c r="AQ427" s="13"/>
      <c r="AR427" s="13"/>
    </row>
    <row r="428" spans="15:44" x14ac:dyDescent="0.2">
      <c r="O428" s="1"/>
      <c r="P428" s="1"/>
      <c r="Q428" s="1"/>
      <c r="R428" s="1"/>
      <c r="S428" s="13"/>
      <c r="T428" s="13"/>
      <c r="U428" s="13"/>
      <c r="V428" s="13"/>
      <c r="W428" s="13"/>
      <c r="X428" s="13"/>
      <c r="Y428" s="13"/>
      <c r="Z428" s="13"/>
      <c r="AA428" s="13"/>
      <c r="AB428" s="13"/>
      <c r="AC428" s="13"/>
      <c r="AD428" s="13"/>
      <c r="AE428" s="13"/>
      <c r="AF428" s="13"/>
      <c r="AG428" s="13"/>
      <c r="AH428" s="13"/>
      <c r="AI428" s="13"/>
      <c r="AJ428" s="13"/>
      <c r="AK428" s="13"/>
      <c r="AL428" s="13"/>
      <c r="AM428" s="13"/>
      <c r="AN428" s="13"/>
      <c r="AO428" s="13"/>
      <c r="AP428" s="13"/>
      <c r="AQ428" s="13"/>
      <c r="AR428" s="13"/>
    </row>
    <row r="429" spans="15:44" x14ac:dyDescent="0.2">
      <c r="O429" s="1"/>
      <c r="P429" s="1"/>
      <c r="Q429" s="1"/>
      <c r="R429" s="1"/>
      <c r="S429" s="13"/>
      <c r="T429" s="13"/>
      <c r="U429" s="13"/>
      <c r="V429" s="13"/>
      <c r="W429" s="13"/>
      <c r="X429" s="13"/>
      <c r="Y429" s="13"/>
      <c r="Z429" s="13"/>
      <c r="AA429" s="13"/>
      <c r="AB429" s="13"/>
      <c r="AC429" s="13"/>
      <c r="AD429" s="13"/>
      <c r="AE429" s="13"/>
      <c r="AF429" s="13"/>
      <c r="AG429" s="13"/>
      <c r="AH429" s="13"/>
      <c r="AI429" s="13"/>
      <c r="AJ429" s="13"/>
      <c r="AK429" s="13"/>
      <c r="AL429" s="13"/>
      <c r="AM429" s="13"/>
      <c r="AN429" s="13"/>
      <c r="AO429" s="13"/>
      <c r="AP429" s="13"/>
      <c r="AQ429" s="13"/>
      <c r="AR429" s="13"/>
    </row>
    <row r="430" spans="15:44" x14ac:dyDescent="0.2">
      <c r="O430" s="1"/>
      <c r="P430" s="1"/>
      <c r="Q430" s="1"/>
      <c r="R430" s="1"/>
      <c r="S430" s="13"/>
      <c r="T430" s="13"/>
      <c r="U430" s="13"/>
      <c r="V430" s="13"/>
      <c r="W430" s="13"/>
      <c r="X430" s="13"/>
      <c r="Y430" s="13"/>
      <c r="Z430" s="13"/>
      <c r="AA430" s="13"/>
      <c r="AB430" s="13"/>
      <c r="AC430" s="13"/>
      <c r="AD430" s="13"/>
      <c r="AE430" s="13"/>
      <c r="AF430" s="13"/>
      <c r="AG430" s="13"/>
      <c r="AH430" s="13"/>
      <c r="AI430" s="13"/>
      <c r="AJ430" s="13"/>
      <c r="AK430" s="13"/>
      <c r="AL430" s="13"/>
      <c r="AM430" s="13"/>
      <c r="AN430" s="13"/>
      <c r="AO430" s="13"/>
      <c r="AP430" s="13"/>
      <c r="AQ430" s="13"/>
      <c r="AR430" s="13"/>
    </row>
    <row r="431" spans="15:44" x14ac:dyDescent="0.2">
      <c r="O431" s="1"/>
      <c r="P431" s="1"/>
      <c r="Q431" s="1"/>
      <c r="R431" s="1"/>
      <c r="S431" s="13"/>
      <c r="T431" s="13"/>
      <c r="U431" s="13"/>
      <c r="V431" s="13"/>
      <c r="W431" s="13"/>
      <c r="X431" s="13"/>
      <c r="Y431" s="13"/>
      <c r="Z431" s="13"/>
      <c r="AA431" s="13"/>
      <c r="AB431" s="13"/>
      <c r="AC431" s="13"/>
      <c r="AD431" s="13"/>
      <c r="AE431" s="13"/>
      <c r="AF431" s="13"/>
      <c r="AG431" s="13"/>
      <c r="AH431" s="13"/>
      <c r="AI431" s="13"/>
      <c r="AJ431" s="13"/>
      <c r="AK431" s="13"/>
      <c r="AL431" s="13"/>
      <c r="AM431" s="13"/>
      <c r="AN431" s="13"/>
      <c r="AO431" s="13"/>
      <c r="AP431" s="13"/>
      <c r="AQ431" s="13"/>
      <c r="AR431" s="13"/>
    </row>
    <row r="432" spans="15:44" x14ac:dyDescent="0.2">
      <c r="O432" s="1"/>
      <c r="P432" s="1"/>
      <c r="Q432" s="1"/>
      <c r="R432" s="1"/>
      <c r="S432" s="13"/>
      <c r="T432" s="13"/>
      <c r="U432" s="13"/>
      <c r="V432" s="13"/>
      <c r="W432" s="13"/>
      <c r="X432" s="13"/>
      <c r="Y432" s="13"/>
      <c r="Z432" s="13"/>
      <c r="AA432" s="13"/>
      <c r="AB432" s="13"/>
      <c r="AC432" s="13"/>
      <c r="AD432" s="13"/>
      <c r="AE432" s="13"/>
      <c r="AF432" s="13"/>
      <c r="AG432" s="13"/>
      <c r="AH432" s="13"/>
      <c r="AI432" s="13"/>
      <c r="AJ432" s="13"/>
      <c r="AK432" s="13"/>
      <c r="AL432" s="13"/>
      <c r="AM432" s="13"/>
      <c r="AN432" s="13"/>
      <c r="AO432" s="13"/>
      <c r="AP432" s="13"/>
      <c r="AQ432" s="13"/>
      <c r="AR432" s="13"/>
    </row>
    <row r="433" spans="15:44" x14ac:dyDescent="0.2">
      <c r="O433" s="1"/>
      <c r="P433" s="1"/>
      <c r="Q433" s="1"/>
      <c r="R433" s="1"/>
      <c r="S433" s="13"/>
      <c r="T433" s="13"/>
      <c r="U433" s="13"/>
      <c r="V433" s="13"/>
      <c r="W433" s="13"/>
      <c r="X433" s="13"/>
      <c r="Y433" s="13"/>
      <c r="Z433" s="13"/>
      <c r="AA433" s="13"/>
      <c r="AB433" s="13"/>
      <c r="AC433" s="13"/>
      <c r="AD433" s="13"/>
      <c r="AE433" s="13"/>
      <c r="AF433" s="13"/>
      <c r="AG433" s="13"/>
      <c r="AH433" s="13"/>
      <c r="AI433" s="13"/>
      <c r="AJ433" s="13"/>
      <c r="AK433" s="13"/>
      <c r="AL433" s="13"/>
      <c r="AM433" s="13"/>
      <c r="AN433" s="13"/>
      <c r="AO433" s="13"/>
      <c r="AP433" s="13"/>
      <c r="AQ433" s="13"/>
      <c r="AR433" s="13"/>
    </row>
    <row r="434" spans="15:44" x14ac:dyDescent="0.2">
      <c r="O434" s="1"/>
      <c r="P434" s="1"/>
      <c r="Q434" s="1"/>
      <c r="R434" s="1"/>
      <c r="S434" s="13"/>
      <c r="T434" s="13"/>
      <c r="U434" s="13"/>
      <c r="V434" s="13"/>
      <c r="W434" s="13"/>
      <c r="X434" s="13"/>
      <c r="Y434" s="13"/>
      <c r="Z434" s="13"/>
      <c r="AA434" s="13"/>
      <c r="AB434" s="13"/>
      <c r="AC434" s="13"/>
      <c r="AD434" s="13"/>
      <c r="AE434" s="13"/>
      <c r="AF434" s="13"/>
      <c r="AG434" s="13"/>
      <c r="AH434" s="13"/>
      <c r="AI434" s="13"/>
      <c r="AJ434" s="13"/>
      <c r="AK434" s="13"/>
      <c r="AL434" s="13"/>
      <c r="AM434" s="13"/>
      <c r="AN434" s="13"/>
      <c r="AO434" s="13"/>
      <c r="AP434" s="13"/>
      <c r="AQ434" s="13"/>
      <c r="AR434" s="13"/>
    </row>
    <row r="435" spans="15:44" x14ac:dyDescent="0.2">
      <c r="O435" s="1"/>
      <c r="P435" s="1"/>
      <c r="Q435" s="1"/>
      <c r="R435" s="1"/>
      <c r="S435" s="13"/>
      <c r="T435" s="13"/>
      <c r="U435" s="13"/>
      <c r="V435" s="13"/>
      <c r="W435" s="13"/>
      <c r="X435" s="13"/>
      <c r="Y435" s="13"/>
      <c r="Z435" s="13"/>
      <c r="AA435" s="13"/>
      <c r="AB435" s="13"/>
      <c r="AC435" s="13"/>
      <c r="AD435" s="13"/>
      <c r="AE435" s="13"/>
      <c r="AF435" s="13"/>
      <c r="AG435" s="13"/>
      <c r="AH435" s="13"/>
      <c r="AI435" s="13"/>
      <c r="AJ435" s="13"/>
      <c r="AK435" s="13"/>
      <c r="AL435" s="13"/>
      <c r="AM435" s="13"/>
      <c r="AN435" s="13"/>
      <c r="AO435" s="13"/>
      <c r="AP435" s="13"/>
      <c r="AQ435" s="13"/>
      <c r="AR435" s="13"/>
    </row>
    <row r="436" spans="15:44" x14ac:dyDescent="0.2">
      <c r="O436" s="1"/>
      <c r="P436" s="1"/>
      <c r="Q436" s="1"/>
      <c r="R436" s="1"/>
      <c r="S436" s="13"/>
      <c r="T436" s="13"/>
      <c r="U436" s="13"/>
      <c r="V436" s="13"/>
      <c r="W436" s="13"/>
      <c r="X436" s="13"/>
      <c r="Y436" s="13"/>
      <c r="Z436" s="13"/>
      <c r="AA436" s="13"/>
      <c r="AB436" s="13"/>
      <c r="AC436" s="13"/>
      <c r="AD436" s="13"/>
      <c r="AE436" s="13"/>
      <c r="AF436" s="13"/>
      <c r="AG436" s="13"/>
      <c r="AH436" s="13"/>
      <c r="AI436" s="13"/>
      <c r="AJ436" s="13"/>
      <c r="AK436" s="13"/>
      <c r="AL436" s="13"/>
      <c r="AM436" s="13"/>
      <c r="AN436" s="13"/>
      <c r="AO436" s="13"/>
      <c r="AP436" s="13"/>
      <c r="AQ436" s="13"/>
      <c r="AR436" s="13"/>
    </row>
    <row r="437" spans="15:44" x14ac:dyDescent="0.2">
      <c r="O437" s="1"/>
      <c r="P437" s="1"/>
      <c r="Q437" s="1"/>
      <c r="R437" s="1"/>
      <c r="S437" s="13"/>
      <c r="T437" s="13"/>
      <c r="U437" s="13"/>
      <c r="V437" s="13"/>
      <c r="W437" s="13"/>
      <c r="X437" s="13"/>
      <c r="Y437" s="13"/>
      <c r="Z437" s="13"/>
      <c r="AA437" s="13"/>
      <c r="AB437" s="13"/>
      <c r="AC437" s="13"/>
      <c r="AD437" s="13"/>
      <c r="AE437" s="13"/>
      <c r="AF437" s="13"/>
      <c r="AG437" s="13"/>
      <c r="AH437" s="13"/>
      <c r="AI437" s="13"/>
      <c r="AJ437" s="13"/>
      <c r="AK437" s="13"/>
      <c r="AL437" s="13"/>
      <c r="AM437" s="13"/>
      <c r="AN437" s="13"/>
      <c r="AO437" s="13"/>
      <c r="AP437" s="13"/>
      <c r="AQ437" s="13"/>
      <c r="AR437" s="13"/>
    </row>
    <row r="438" spans="15:44" x14ac:dyDescent="0.2">
      <c r="O438" s="1"/>
      <c r="P438" s="1"/>
      <c r="Q438" s="1"/>
      <c r="R438" s="1"/>
      <c r="S438" s="13"/>
      <c r="T438" s="13"/>
      <c r="U438" s="13"/>
      <c r="V438" s="13"/>
      <c r="W438" s="13"/>
      <c r="X438" s="13"/>
      <c r="Y438" s="13"/>
      <c r="Z438" s="13"/>
      <c r="AA438" s="13"/>
      <c r="AB438" s="13"/>
      <c r="AC438" s="13"/>
      <c r="AD438" s="13"/>
      <c r="AE438" s="13"/>
      <c r="AF438" s="13"/>
      <c r="AG438" s="13"/>
      <c r="AH438" s="13"/>
      <c r="AI438" s="13"/>
      <c r="AJ438" s="13"/>
      <c r="AK438" s="13"/>
      <c r="AL438" s="13"/>
      <c r="AM438" s="13"/>
      <c r="AN438" s="13"/>
      <c r="AO438" s="13"/>
      <c r="AP438" s="13"/>
      <c r="AQ438" s="13"/>
      <c r="AR438" s="13"/>
    </row>
    <row r="439" spans="15:44" x14ac:dyDescent="0.2">
      <c r="O439" s="1"/>
      <c r="P439" s="1"/>
      <c r="Q439" s="1"/>
      <c r="R439" s="1"/>
      <c r="S439" s="13"/>
      <c r="T439" s="13"/>
      <c r="U439" s="13"/>
      <c r="V439" s="13"/>
      <c r="W439" s="13"/>
      <c r="X439" s="13"/>
      <c r="Y439" s="13"/>
      <c r="Z439" s="13"/>
      <c r="AA439" s="13"/>
      <c r="AB439" s="13"/>
      <c r="AC439" s="13"/>
      <c r="AD439" s="13"/>
      <c r="AE439" s="13"/>
      <c r="AF439" s="13"/>
      <c r="AG439" s="13"/>
      <c r="AH439" s="13"/>
      <c r="AI439" s="13"/>
      <c r="AJ439" s="13"/>
      <c r="AK439" s="13"/>
      <c r="AL439" s="13"/>
      <c r="AM439" s="13"/>
      <c r="AN439" s="13"/>
      <c r="AO439" s="13"/>
      <c r="AP439" s="13"/>
      <c r="AQ439" s="13"/>
      <c r="AR439" s="13"/>
    </row>
    <row r="440" spans="15:44" x14ac:dyDescent="0.2">
      <c r="O440" s="1"/>
      <c r="P440" s="1"/>
      <c r="Q440" s="1"/>
      <c r="R440" s="1"/>
      <c r="S440" s="13"/>
      <c r="T440" s="13"/>
      <c r="U440" s="13"/>
      <c r="V440" s="13"/>
      <c r="W440" s="13"/>
      <c r="X440" s="13"/>
      <c r="Y440" s="13"/>
      <c r="Z440" s="13"/>
      <c r="AA440" s="13"/>
      <c r="AB440" s="13"/>
      <c r="AC440" s="13"/>
      <c r="AD440" s="13"/>
      <c r="AE440" s="13"/>
      <c r="AF440" s="13"/>
      <c r="AG440" s="13"/>
      <c r="AH440" s="13"/>
      <c r="AI440" s="13"/>
      <c r="AJ440" s="13"/>
      <c r="AK440" s="13"/>
      <c r="AL440" s="13"/>
      <c r="AM440" s="13"/>
      <c r="AN440" s="13"/>
      <c r="AO440" s="13"/>
      <c r="AP440" s="13"/>
      <c r="AQ440" s="13"/>
      <c r="AR440" s="13"/>
    </row>
    <row r="441" spans="15:44" x14ac:dyDescent="0.2">
      <c r="O441" s="1"/>
      <c r="P441" s="1"/>
      <c r="Q441" s="1"/>
      <c r="R441" s="1"/>
      <c r="S441" s="13"/>
      <c r="T441" s="13"/>
      <c r="U441" s="13"/>
      <c r="V441" s="13"/>
      <c r="W441" s="13"/>
      <c r="X441" s="13"/>
      <c r="Y441" s="13"/>
      <c r="Z441" s="13"/>
      <c r="AA441" s="13"/>
      <c r="AB441" s="13"/>
      <c r="AC441" s="13"/>
      <c r="AD441" s="13"/>
      <c r="AE441" s="13"/>
      <c r="AF441" s="13"/>
      <c r="AG441" s="13"/>
      <c r="AH441" s="13"/>
      <c r="AI441" s="13"/>
      <c r="AJ441" s="13"/>
      <c r="AK441" s="13"/>
      <c r="AL441" s="13"/>
      <c r="AM441" s="13"/>
      <c r="AN441" s="13"/>
      <c r="AO441" s="13"/>
      <c r="AP441" s="13"/>
      <c r="AQ441" s="13"/>
      <c r="AR441" s="13"/>
    </row>
    <row r="442" spans="15:44" x14ac:dyDescent="0.2">
      <c r="O442" s="1"/>
      <c r="P442" s="1"/>
      <c r="Q442" s="1"/>
      <c r="R442" s="1"/>
      <c r="S442" s="13"/>
      <c r="T442" s="13"/>
      <c r="U442" s="13"/>
      <c r="V442" s="13"/>
      <c r="W442" s="13"/>
      <c r="X442" s="13"/>
      <c r="Y442" s="13"/>
      <c r="Z442" s="13"/>
      <c r="AA442" s="13"/>
      <c r="AB442" s="13"/>
      <c r="AC442" s="13"/>
      <c r="AD442" s="13"/>
      <c r="AE442" s="13"/>
      <c r="AF442" s="13"/>
      <c r="AG442" s="13"/>
      <c r="AH442" s="13"/>
      <c r="AI442" s="13"/>
      <c r="AJ442" s="13"/>
      <c r="AK442" s="13"/>
      <c r="AL442" s="13"/>
      <c r="AM442" s="13"/>
      <c r="AN442" s="13"/>
      <c r="AO442" s="13"/>
      <c r="AP442" s="13"/>
      <c r="AQ442" s="13"/>
      <c r="AR442" s="13"/>
    </row>
    <row r="443" spans="15:44" x14ac:dyDescent="0.2">
      <c r="O443" s="1"/>
      <c r="P443" s="1"/>
      <c r="Q443" s="1"/>
      <c r="R443" s="1"/>
      <c r="S443" s="13"/>
      <c r="T443" s="13"/>
      <c r="U443" s="13"/>
      <c r="V443" s="13"/>
      <c r="W443" s="13"/>
      <c r="X443" s="13"/>
      <c r="Y443" s="13"/>
      <c r="Z443" s="13"/>
      <c r="AA443" s="13"/>
      <c r="AB443" s="13"/>
      <c r="AC443" s="13"/>
      <c r="AD443" s="13"/>
      <c r="AE443" s="13"/>
      <c r="AF443" s="13"/>
      <c r="AG443" s="13"/>
      <c r="AH443" s="13"/>
      <c r="AI443" s="13"/>
      <c r="AJ443" s="13"/>
      <c r="AK443" s="13"/>
      <c r="AL443" s="13"/>
      <c r="AM443" s="13"/>
      <c r="AN443" s="13"/>
      <c r="AO443" s="13"/>
      <c r="AP443" s="13"/>
      <c r="AQ443" s="13"/>
      <c r="AR443" s="13"/>
    </row>
    <row r="444" spans="15:44" x14ac:dyDescent="0.2">
      <c r="O444" s="1"/>
      <c r="P444" s="1"/>
      <c r="Q444" s="1"/>
      <c r="R444" s="1"/>
      <c r="S444" s="13"/>
      <c r="T444" s="13"/>
      <c r="U444" s="13"/>
      <c r="V444" s="13"/>
      <c r="W444" s="13"/>
      <c r="X444" s="13"/>
      <c r="Y444" s="13"/>
      <c r="Z444" s="13"/>
      <c r="AA444" s="13"/>
      <c r="AB444" s="13"/>
      <c r="AC444" s="13"/>
      <c r="AD444" s="13"/>
      <c r="AE444" s="13"/>
      <c r="AF444" s="13"/>
      <c r="AG444" s="13"/>
      <c r="AH444" s="13"/>
      <c r="AI444" s="13"/>
      <c r="AJ444" s="13"/>
      <c r="AK444" s="13"/>
      <c r="AL444" s="13"/>
      <c r="AM444" s="13"/>
      <c r="AN444" s="13"/>
      <c r="AO444" s="13"/>
      <c r="AP444" s="13"/>
      <c r="AQ444" s="13"/>
      <c r="AR444" s="13"/>
    </row>
    <row r="445" spans="15:44" x14ac:dyDescent="0.2">
      <c r="O445" s="1"/>
      <c r="P445" s="1"/>
      <c r="Q445" s="1"/>
      <c r="R445" s="1"/>
      <c r="S445" s="13"/>
      <c r="T445" s="13"/>
      <c r="U445" s="13"/>
      <c r="V445" s="13"/>
      <c r="W445" s="13"/>
      <c r="X445" s="13"/>
      <c r="Y445" s="13"/>
      <c r="Z445" s="13"/>
      <c r="AA445" s="13"/>
      <c r="AB445" s="13"/>
      <c r="AC445" s="13"/>
      <c r="AD445" s="13"/>
      <c r="AE445" s="13"/>
      <c r="AF445" s="13"/>
      <c r="AG445" s="13"/>
      <c r="AH445" s="13"/>
      <c r="AI445" s="13"/>
      <c r="AJ445" s="13"/>
      <c r="AK445" s="13"/>
      <c r="AL445" s="13"/>
      <c r="AM445" s="13"/>
      <c r="AN445" s="13"/>
      <c r="AO445" s="13"/>
      <c r="AP445" s="13"/>
      <c r="AQ445" s="13"/>
      <c r="AR445" s="13"/>
    </row>
  </sheetData>
  <mergeCells count="1">
    <mergeCell ref="D89:I89"/>
  </mergeCells>
  <phoneticPr fontId="43" type="noConversion"/>
  <pageMargins left="0.70866141732283472" right="0.70866141732283472" top="0.74803149606299213" bottom="0.74803149606299213" header="0.31496062992125984" footer="0.31496062992125984"/>
  <pageSetup paperSize="9" scale="50" orientation="landscape" r:id="rId1"/>
  <ignoredErrors>
    <ignoredError sqref="G27:G58 K90 G108:K110 G106:I107 K106:K107 H28:H58 G26:K26 J113:K113 J112:K112 G128:K286 J111:K111 H27"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CBD26-C370-45DA-8C01-FD4E9BAD660F}">
  <dimension ref="A2:O282"/>
  <sheetViews>
    <sheetView workbookViewId="0"/>
  </sheetViews>
  <sheetFormatPr defaultRowHeight="15" x14ac:dyDescent="0.25"/>
  <cols>
    <col min="1" max="1" width="32.85546875" customWidth="1"/>
    <col min="3" max="3" width="16.42578125" customWidth="1"/>
    <col min="4" max="4" width="13.5703125" customWidth="1"/>
    <col min="10" max="10" width="47.5703125" customWidth="1"/>
    <col min="11" max="11" width="28.5703125" customWidth="1"/>
    <col min="12" max="12" width="12" bestFit="1" customWidth="1"/>
    <col min="13" max="13" width="10.5703125" bestFit="1" customWidth="1"/>
  </cols>
  <sheetData>
    <row r="2" spans="1:8" ht="15.75" thickBot="1" x14ac:dyDescent="0.3"/>
    <row r="3" spans="1:8" x14ac:dyDescent="0.25">
      <c r="A3" s="329"/>
      <c r="B3" s="323"/>
      <c r="C3" s="337" t="s">
        <v>138</v>
      </c>
      <c r="D3" s="340" t="s">
        <v>139</v>
      </c>
      <c r="E3" s="340" t="s">
        <v>140</v>
      </c>
      <c r="F3" s="340" t="s">
        <v>141</v>
      </c>
      <c r="G3" s="340" t="s">
        <v>142</v>
      </c>
      <c r="H3" s="330" t="s">
        <v>143</v>
      </c>
    </row>
    <row r="4" spans="1:8" x14ac:dyDescent="0.25">
      <c r="A4" s="338" t="s">
        <v>144</v>
      </c>
      <c r="B4" s="82"/>
      <c r="C4" s="338" t="s">
        <v>145</v>
      </c>
      <c r="D4" s="341" t="s">
        <v>146</v>
      </c>
      <c r="E4" s="341" t="s">
        <v>146</v>
      </c>
      <c r="F4" s="341" t="s">
        <v>146</v>
      </c>
      <c r="G4" s="341" t="s">
        <v>146</v>
      </c>
      <c r="H4" s="331" t="s">
        <v>146</v>
      </c>
    </row>
    <row r="5" spans="1:8" x14ac:dyDescent="0.25">
      <c r="A5" s="80" t="s">
        <v>147</v>
      </c>
      <c r="C5" s="339" t="s">
        <v>148</v>
      </c>
      <c r="D5" s="604" t="s">
        <v>148</v>
      </c>
      <c r="E5" s="605" t="s">
        <v>149</v>
      </c>
      <c r="F5" s="604" t="s">
        <v>148</v>
      </c>
      <c r="G5" s="604" t="s">
        <v>148</v>
      </c>
      <c r="H5" s="332" t="s">
        <v>148</v>
      </c>
    </row>
    <row r="6" spans="1:8" x14ac:dyDescent="0.25">
      <c r="A6" s="80" t="s">
        <v>150</v>
      </c>
      <c r="C6" s="80"/>
      <c r="D6" s="334" t="s">
        <v>148</v>
      </c>
      <c r="E6" s="335" t="s">
        <v>149</v>
      </c>
      <c r="F6" s="334" t="s">
        <v>148</v>
      </c>
      <c r="G6" s="336" t="s">
        <v>151</v>
      </c>
      <c r="H6" s="332" t="s">
        <v>148</v>
      </c>
    </row>
    <row r="7" spans="1:8" x14ac:dyDescent="0.25">
      <c r="A7" s="80" t="s">
        <v>152</v>
      </c>
      <c r="C7" s="80"/>
      <c r="D7" s="334" t="s">
        <v>148</v>
      </c>
      <c r="E7" s="334" t="s">
        <v>148</v>
      </c>
      <c r="F7" s="335" t="s">
        <v>149</v>
      </c>
      <c r="G7" s="335" t="s">
        <v>149</v>
      </c>
      <c r="H7" s="333" t="s">
        <v>149</v>
      </c>
    </row>
    <row r="8" spans="1:8" x14ac:dyDescent="0.25">
      <c r="A8" s="80" t="s">
        <v>153</v>
      </c>
      <c r="C8" s="339" t="s">
        <v>154</v>
      </c>
      <c r="D8" s="336" t="s">
        <v>151</v>
      </c>
      <c r="E8" s="336" t="s">
        <v>151</v>
      </c>
      <c r="F8" s="336" t="s">
        <v>151</v>
      </c>
      <c r="G8" s="336" t="s">
        <v>151</v>
      </c>
      <c r="H8" s="325" t="s">
        <v>151</v>
      </c>
    </row>
    <row r="9" spans="1:8" x14ac:dyDescent="0.25">
      <c r="A9" s="80" t="s">
        <v>155</v>
      </c>
      <c r="C9" s="80"/>
      <c r="D9" s="335" t="s">
        <v>149</v>
      </c>
      <c r="E9" s="335" t="s">
        <v>149</v>
      </c>
      <c r="F9" s="335" t="s">
        <v>149</v>
      </c>
      <c r="G9" s="334" t="s">
        <v>148</v>
      </c>
      <c r="H9" s="333" t="s">
        <v>149</v>
      </c>
    </row>
    <row r="10" spans="1:8" x14ac:dyDescent="0.25">
      <c r="A10" s="78" t="s">
        <v>156</v>
      </c>
      <c r="C10" s="80"/>
      <c r="D10" s="336"/>
      <c r="E10" s="336"/>
      <c r="F10" s="336"/>
      <c r="G10" s="336"/>
      <c r="H10" s="325"/>
    </row>
    <row r="11" spans="1:8" x14ac:dyDescent="0.25">
      <c r="A11" s="80" t="s">
        <v>157</v>
      </c>
      <c r="C11" s="80"/>
      <c r="D11" s="334" t="s">
        <v>148</v>
      </c>
      <c r="E11" s="334" t="s">
        <v>148</v>
      </c>
      <c r="F11" s="334" t="s">
        <v>148</v>
      </c>
      <c r="G11" s="334" t="s">
        <v>148</v>
      </c>
      <c r="H11" s="332" t="s">
        <v>148</v>
      </c>
    </row>
    <row r="12" spans="1:8" x14ac:dyDescent="0.25">
      <c r="A12" s="80" t="s">
        <v>158</v>
      </c>
      <c r="C12" s="80"/>
      <c r="D12" s="334" t="s">
        <v>148</v>
      </c>
      <c r="E12" s="335" t="s">
        <v>149</v>
      </c>
      <c r="F12" s="335" t="s">
        <v>149</v>
      </c>
      <c r="G12" s="334" t="s">
        <v>148</v>
      </c>
      <c r="H12" s="333" t="s">
        <v>149</v>
      </c>
    </row>
    <row r="13" spans="1:8" ht="15.75" thickBot="1" x14ac:dyDescent="0.3">
      <c r="A13" s="321" t="s">
        <v>159</v>
      </c>
      <c r="B13" s="322"/>
      <c r="C13" s="321"/>
      <c r="D13" s="342" t="s">
        <v>149</v>
      </c>
      <c r="E13" s="342" t="s">
        <v>149</v>
      </c>
      <c r="F13" s="343" t="s">
        <v>148</v>
      </c>
      <c r="G13" s="342" t="s">
        <v>149</v>
      </c>
      <c r="H13" s="343" t="s">
        <v>148</v>
      </c>
    </row>
    <row r="14" spans="1:8" x14ac:dyDescent="0.25">
      <c r="A14" s="324" t="s">
        <v>160</v>
      </c>
      <c r="H14" s="325"/>
    </row>
    <row r="15" spans="1:8" ht="15.75" thickBot="1" x14ac:dyDescent="0.3">
      <c r="A15" s="326" t="s">
        <v>161</v>
      </c>
      <c r="B15" s="322"/>
      <c r="C15" s="322"/>
      <c r="D15" s="327" t="s">
        <v>148</v>
      </c>
      <c r="E15" s="327" t="s">
        <v>148</v>
      </c>
      <c r="F15" s="327" t="s">
        <v>148</v>
      </c>
      <c r="G15" s="327" t="s">
        <v>148</v>
      </c>
      <c r="H15" s="328" t="s">
        <v>149</v>
      </c>
    </row>
    <row r="17" spans="1:15" x14ac:dyDescent="0.25">
      <c r="A17" s="73" t="s">
        <v>162</v>
      </c>
    </row>
    <row r="19" spans="1:15" x14ac:dyDescent="0.25">
      <c r="A19" t="s">
        <v>163</v>
      </c>
    </row>
    <row r="20" spans="1:15" x14ac:dyDescent="0.25">
      <c r="A20" t="s">
        <v>164</v>
      </c>
    </row>
    <row r="21" spans="1:15" x14ac:dyDescent="0.25">
      <c r="A21" t="s">
        <v>165</v>
      </c>
    </row>
    <row r="22" spans="1:15" x14ac:dyDescent="0.25">
      <c r="A22" t="s">
        <v>166</v>
      </c>
    </row>
    <row r="23" spans="1:15" x14ac:dyDescent="0.25">
      <c r="A23" t="s">
        <v>167</v>
      </c>
    </row>
    <row r="24" spans="1:15" x14ac:dyDescent="0.25">
      <c r="A24" t="s">
        <v>168</v>
      </c>
    </row>
    <row r="26" spans="1:15" x14ac:dyDescent="0.25">
      <c r="D26" t="s">
        <v>169</v>
      </c>
      <c r="E26" t="s">
        <v>170</v>
      </c>
      <c r="H26" s="356" t="s">
        <v>171</v>
      </c>
      <c r="K26" s="353" t="s">
        <v>172</v>
      </c>
      <c r="L26" t="s">
        <v>169</v>
      </c>
      <c r="O26" s="357" t="s">
        <v>173</v>
      </c>
    </row>
    <row r="27" spans="1:15" x14ac:dyDescent="0.25">
      <c r="A27" t="s">
        <v>174</v>
      </c>
      <c r="C27" s="152">
        <v>26446</v>
      </c>
      <c r="D27" s="351">
        <f>C27/$C$50</f>
        <v>2.1380380626720187E-3</v>
      </c>
      <c r="H27" t="s">
        <v>175</v>
      </c>
      <c r="K27">
        <v>934</v>
      </c>
      <c r="L27" s="354">
        <f t="shared" ref="L27:L40" si="0">K27/$K$277</f>
        <v>7.6428594866829726E-5</v>
      </c>
    </row>
    <row r="28" spans="1:15" x14ac:dyDescent="0.25">
      <c r="A28" t="s">
        <v>176</v>
      </c>
      <c r="C28" s="152">
        <v>3429350</v>
      </c>
      <c r="D28" s="352">
        <f t="shared" ref="D28:D49" si="1">C28/$C$50</f>
        <v>0.27724725214490992</v>
      </c>
      <c r="H28" t="s">
        <v>177</v>
      </c>
      <c r="K28">
        <v>12166</v>
      </c>
      <c r="L28" s="354">
        <f t="shared" si="0"/>
        <v>9.9553563720540723E-4</v>
      </c>
    </row>
    <row r="29" spans="1:15" x14ac:dyDescent="0.25">
      <c r="A29" t="s">
        <v>178</v>
      </c>
      <c r="C29" s="152">
        <v>353272</v>
      </c>
      <c r="D29" s="351">
        <f t="shared" si="1"/>
        <v>2.8560424354392704E-2</v>
      </c>
      <c r="H29" t="s">
        <v>179</v>
      </c>
      <c r="K29">
        <v>8850</v>
      </c>
      <c r="L29" s="354">
        <f t="shared" si="0"/>
        <v>7.2418957662895398E-4</v>
      </c>
    </row>
    <row r="30" spans="1:15" x14ac:dyDescent="0.25">
      <c r="A30" t="s">
        <v>180</v>
      </c>
      <c r="C30" s="152">
        <v>771779</v>
      </c>
      <c r="D30" s="351">
        <f t="shared" si="1"/>
        <v>6.2394799893025335E-2</v>
      </c>
      <c r="H30" t="s">
        <v>181</v>
      </c>
      <c r="K30">
        <v>4228</v>
      </c>
      <c r="L30" s="354">
        <f t="shared" si="0"/>
        <v>3.4597441016804718E-4</v>
      </c>
    </row>
    <row r="31" spans="1:15" x14ac:dyDescent="0.25">
      <c r="A31" t="s">
        <v>182</v>
      </c>
      <c r="C31" s="152">
        <v>10617</v>
      </c>
      <c r="D31" s="351">
        <f t="shared" si="1"/>
        <v>8.5833585840538551E-4</v>
      </c>
      <c r="H31" t="s">
        <v>183</v>
      </c>
      <c r="K31">
        <v>12710</v>
      </c>
      <c r="L31" s="354">
        <f t="shared" si="0"/>
        <v>1.0400507931021474E-3</v>
      </c>
    </row>
    <row r="32" spans="1:15" x14ac:dyDescent="0.25">
      <c r="A32" t="s">
        <v>184</v>
      </c>
      <c r="C32" s="152">
        <v>0</v>
      </c>
      <c r="D32" s="351">
        <f t="shared" si="1"/>
        <v>0</v>
      </c>
      <c r="H32" t="s">
        <v>185</v>
      </c>
      <c r="K32">
        <v>20709</v>
      </c>
      <c r="L32" s="354">
        <f t="shared" si="0"/>
        <v>1.6946036093117523E-3</v>
      </c>
    </row>
    <row r="33" spans="1:12" x14ac:dyDescent="0.25">
      <c r="A33" t="s">
        <v>186</v>
      </c>
      <c r="C33" s="152">
        <v>169433</v>
      </c>
      <c r="D33" s="351">
        <f t="shared" si="1"/>
        <v>1.3697882593689335E-2</v>
      </c>
      <c r="H33" t="s">
        <v>187</v>
      </c>
      <c r="K33">
        <v>510</v>
      </c>
      <c r="L33" s="354">
        <f t="shared" si="0"/>
        <v>4.1732958653193957E-5</v>
      </c>
    </row>
    <row r="34" spans="1:12" x14ac:dyDescent="0.25">
      <c r="A34" t="s">
        <v>188</v>
      </c>
      <c r="C34" s="152">
        <v>590848</v>
      </c>
      <c r="D34" s="351">
        <f t="shared" si="1"/>
        <v>4.7767356623067268E-2</v>
      </c>
      <c r="H34" t="s">
        <v>189</v>
      </c>
      <c r="K34">
        <v>553</v>
      </c>
      <c r="L34" s="354">
        <f t="shared" si="0"/>
        <v>4.5251619872973058E-5</v>
      </c>
    </row>
    <row r="35" spans="1:12" x14ac:dyDescent="0.25">
      <c r="A35" t="s">
        <v>190</v>
      </c>
      <c r="C35" s="152">
        <v>163376</v>
      </c>
      <c r="D35" s="351">
        <f t="shared" si="1"/>
        <v>1.3208201865200928E-2</v>
      </c>
      <c r="H35" t="s">
        <v>191</v>
      </c>
      <c r="K35">
        <v>2048</v>
      </c>
      <c r="L35" s="354">
        <f t="shared" si="0"/>
        <v>1.6758646925831613E-4</v>
      </c>
    </row>
    <row r="36" spans="1:12" x14ac:dyDescent="0.25">
      <c r="A36" t="s">
        <v>192</v>
      </c>
      <c r="C36" s="152">
        <v>79777</v>
      </c>
      <c r="D36" s="351">
        <f t="shared" si="1"/>
        <v>6.4496053288128881E-3</v>
      </c>
      <c r="H36" t="s">
        <v>193</v>
      </c>
      <c r="K36">
        <v>924</v>
      </c>
      <c r="L36" s="354">
        <f t="shared" si="0"/>
        <v>7.5610301559904343E-5</v>
      </c>
    </row>
    <row r="37" spans="1:12" x14ac:dyDescent="0.25">
      <c r="A37" t="s">
        <v>194</v>
      </c>
      <c r="C37" s="152">
        <v>191532</v>
      </c>
      <c r="D37" s="351">
        <f t="shared" si="1"/>
        <v>1.5484485601591814E-2</v>
      </c>
      <c r="H37" t="s">
        <v>195</v>
      </c>
      <c r="K37">
        <v>131</v>
      </c>
      <c r="L37" s="354">
        <f t="shared" si="0"/>
        <v>1.0719642320722369E-5</v>
      </c>
    </row>
    <row r="38" spans="1:12" x14ac:dyDescent="0.25">
      <c r="A38" t="s">
        <v>196</v>
      </c>
      <c r="C38" s="152">
        <v>14553</v>
      </c>
      <c r="D38" s="351">
        <f t="shared" si="1"/>
        <v>1.1765434442284615E-3</v>
      </c>
      <c r="H38" t="s">
        <v>197</v>
      </c>
      <c r="K38">
        <v>108</v>
      </c>
      <c r="L38" s="354">
        <f t="shared" si="0"/>
        <v>8.8375677147940141E-6</v>
      </c>
    </row>
    <row r="39" spans="1:12" x14ac:dyDescent="0.25">
      <c r="A39" t="s">
        <v>198</v>
      </c>
      <c r="C39" s="152">
        <v>21274</v>
      </c>
      <c r="D39" s="351">
        <f t="shared" si="1"/>
        <v>1.7199055337398673E-3</v>
      </c>
      <c r="H39" t="s">
        <v>199</v>
      </c>
      <c r="K39">
        <v>54</v>
      </c>
      <c r="L39" s="354">
        <f t="shared" si="0"/>
        <v>4.418783857397007E-6</v>
      </c>
    </row>
    <row r="40" spans="1:12" x14ac:dyDescent="0.25">
      <c r="A40" t="s">
        <v>200</v>
      </c>
      <c r="C40" s="152">
        <v>12708</v>
      </c>
      <c r="D40" s="351">
        <f t="shared" si="1"/>
        <v>1.0273836383738945E-3</v>
      </c>
      <c r="H40" t="s">
        <v>201</v>
      </c>
      <c r="K40">
        <v>1640</v>
      </c>
      <c r="L40" s="354">
        <f t="shared" si="0"/>
        <v>1.3420010233576097E-4</v>
      </c>
    </row>
    <row r="41" spans="1:12" x14ac:dyDescent="0.25">
      <c r="A41" t="s">
        <v>202</v>
      </c>
      <c r="C41" s="152">
        <v>91</v>
      </c>
      <c r="D41" s="351">
        <f t="shared" si="1"/>
        <v>7.3569335136940831E-6</v>
      </c>
      <c r="L41" s="354"/>
    </row>
    <row r="42" spans="1:12" x14ac:dyDescent="0.25">
      <c r="A42" t="s">
        <v>203</v>
      </c>
      <c r="C42" s="152">
        <v>37240</v>
      </c>
      <c r="D42" s="351">
        <f t="shared" si="1"/>
        <v>3.0106835609886554E-3</v>
      </c>
      <c r="H42" t="s">
        <v>204</v>
      </c>
      <c r="K42">
        <v>119</v>
      </c>
      <c r="L42" s="354">
        <f>K42/$K$277</f>
        <v>9.7376903524119228E-6</v>
      </c>
    </row>
    <row r="43" spans="1:12" x14ac:dyDescent="0.25">
      <c r="A43" t="s">
        <v>205</v>
      </c>
      <c r="C43" s="152">
        <v>8947</v>
      </c>
      <c r="D43" s="351">
        <f t="shared" si="1"/>
        <v>7.2332400161561488E-4</v>
      </c>
      <c r="H43" t="s">
        <v>206</v>
      </c>
      <c r="K43">
        <v>114</v>
      </c>
      <c r="L43" s="354">
        <f>K43/$K$277</f>
        <v>9.3285436989492381E-6</v>
      </c>
    </row>
    <row r="44" spans="1:12" x14ac:dyDescent="0.25">
      <c r="A44" t="s">
        <v>207</v>
      </c>
      <c r="C44" s="152">
        <v>2840</v>
      </c>
      <c r="D44" s="351">
        <f t="shared" si="1"/>
        <v>2.2960100196583731E-4</v>
      </c>
      <c r="H44" t="s">
        <v>208</v>
      </c>
      <c r="K44">
        <v>398</v>
      </c>
      <c r="L44" s="354">
        <f>K44/$K$277</f>
        <v>3.2568073615629797E-5</v>
      </c>
    </row>
    <row r="45" spans="1:12" x14ac:dyDescent="0.25">
      <c r="A45" t="s">
        <v>209</v>
      </c>
      <c r="C45" s="152">
        <v>0</v>
      </c>
      <c r="D45" s="351">
        <f t="shared" si="1"/>
        <v>0</v>
      </c>
      <c r="H45" t="s">
        <v>210</v>
      </c>
      <c r="K45">
        <v>1</v>
      </c>
      <c r="L45" s="354">
        <f>K45/$K$277</f>
        <v>8.1829330692537172E-8</v>
      </c>
    </row>
    <row r="46" spans="1:12" x14ac:dyDescent="0.25">
      <c r="A46" t="s">
        <v>211</v>
      </c>
      <c r="C46" s="152">
        <v>6356264</v>
      </c>
      <c r="D46" s="352">
        <f t="shared" si="1"/>
        <v>0.51387485322513415</v>
      </c>
      <c r="L46" s="354"/>
    </row>
    <row r="47" spans="1:12" x14ac:dyDescent="0.25">
      <c r="A47" t="s">
        <v>212</v>
      </c>
      <c r="C47" s="152">
        <v>28970</v>
      </c>
      <c r="D47" s="351">
        <f t="shared" si="1"/>
        <v>2.3420919108979952E-3</v>
      </c>
      <c r="H47" t="s">
        <v>213</v>
      </c>
      <c r="K47">
        <v>3495</v>
      </c>
      <c r="L47" s="354">
        <f t="shared" ref="L47:L61" si="2">K47/$K$277</f>
        <v>2.859935107704174E-4</v>
      </c>
    </row>
    <row r="48" spans="1:12" x14ac:dyDescent="0.25">
      <c r="A48" t="s">
        <v>214</v>
      </c>
      <c r="C48" s="152">
        <v>1146</v>
      </c>
      <c r="D48" s="351">
        <f t="shared" si="1"/>
        <v>9.2648855018608999E-5</v>
      </c>
      <c r="H48" t="s">
        <v>215</v>
      </c>
      <c r="K48">
        <v>9612</v>
      </c>
      <c r="L48" s="354">
        <f t="shared" si="2"/>
        <v>7.8654352661666727E-4</v>
      </c>
    </row>
    <row r="49" spans="1:14" x14ac:dyDescent="0.25">
      <c r="A49" t="s">
        <v>216</v>
      </c>
      <c r="C49" s="152">
        <v>98821</v>
      </c>
      <c r="D49" s="351">
        <f t="shared" si="1"/>
        <v>7.9892255687556372E-3</v>
      </c>
      <c r="H49" t="s">
        <v>217</v>
      </c>
      <c r="K49">
        <v>27596</v>
      </c>
      <c r="L49" s="354">
        <f t="shared" si="2"/>
        <v>2.2581622097912557E-3</v>
      </c>
    </row>
    <row r="50" spans="1:14" x14ac:dyDescent="0.25">
      <c r="C50" s="73">
        <f>SUM(C27:C49)</f>
        <v>12369284</v>
      </c>
      <c r="D50">
        <f>SUM(D27:D49)</f>
        <v>0.99999999999999989</v>
      </c>
      <c r="H50" t="s">
        <v>218</v>
      </c>
      <c r="K50">
        <v>45072</v>
      </c>
      <c r="L50" s="354">
        <f t="shared" si="2"/>
        <v>3.6882115929740356E-3</v>
      </c>
    </row>
    <row r="51" spans="1:14" x14ac:dyDescent="0.25">
      <c r="H51" t="s">
        <v>219</v>
      </c>
      <c r="K51">
        <v>4993</v>
      </c>
      <c r="L51" s="354">
        <f t="shared" si="2"/>
        <v>4.0857384814783811E-4</v>
      </c>
    </row>
    <row r="52" spans="1:14" x14ac:dyDescent="0.25">
      <c r="H52" t="s">
        <v>220</v>
      </c>
      <c r="K52">
        <v>6947</v>
      </c>
      <c r="L52" s="354">
        <f t="shared" si="2"/>
        <v>5.6846836032105579E-4</v>
      </c>
    </row>
    <row r="53" spans="1:14" x14ac:dyDescent="0.25">
      <c r="H53" t="s">
        <v>221</v>
      </c>
      <c r="K53">
        <v>3659</v>
      </c>
      <c r="L53" s="354">
        <f t="shared" si="2"/>
        <v>2.9941352100399353E-4</v>
      </c>
    </row>
    <row r="54" spans="1:14" x14ac:dyDescent="0.25">
      <c r="H54" t="s">
        <v>222</v>
      </c>
      <c r="K54">
        <v>1628</v>
      </c>
      <c r="L54" s="354">
        <f t="shared" si="2"/>
        <v>1.3321815036745053E-4</v>
      </c>
    </row>
    <row r="55" spans="1:14" x14ac:dyDescent="0.25">
      <c r="H55" t="s">
        <v>223</v>
      </c>
      <c r="K55">
        <v>220</v>
      </c>
      <c r="L55" s="354">
        <f t="shared" si="2"/>
        <v>1.8002452752358179E-5</v>
      </c>
    </row>
    <row r="56" spans="1:14" x14ac:dyDescent="0.25">
      <c r="H56" t="s">
        <v>224</v>
      </c>
      <c r="K56">
        <v>292</v>
      </c>
      <c r="L56" s="354">
        <f t="shared" si="2"/>
        <v>2.3894164562220854E-5</v>
      </c>
    </row>
    <row r="57" spans="1:14" x14ac:dyDescent="0.25">
      <c r="H57" t="s">
        <v>225</v>
      </c>
      <c r="K57">
        <v>20540</v>
      </c>
      <c r="L57" s="354">
        <f t="shared" si="2"/>
        <v>1.6807744524247135E-3</v>
      </c>
      <c r="M57" s="73">
        <f>SUM(K47:K57)</f>
        <v>124054</v>
      </c>
      <c r="N57" s="355">
        <f>SUM(L47:L57)</f>
        <v>1.0151255789732007E-2</v>
      </c>
    </row>
    <row r="58" spans="1:14" x14ac:dyDescent="0.25">
      <c r="H58" t="s">
        <v>226</v>
      </c>
      <c r="K58">
        <v>1124</v>
      </c>
      <c r="L58" s="354">
        <f t="shared" si="2"/>
        <v>9.1976167698411786E-5</v>
      </c>
    </row>
    <row r="59" spans="1:14" x14ac:dyDescent="0.25">
      <c r="H59" t="s">
        <v>227</v>
      </c>
      <c r="K59">
        <v>205</v>
      </c>
      <c r="L59" s="354">
        <f t="shared" si="2"/>
        <v>1.6775012791970121E-5</v>
      </c>
    </row>
    <row r="60" spans="1:14" x14ac:dyDescent="0.25">
      <c r="H60" t="s">
        <v>228</v>
      </c>
      <c r="K60">
        <v>2074</v>
      </c>
      <c r="L60" s="354">
        <f t="shared" si="2"/>
        <v>1.6971403185632209E-4</v>
      </c>
    </row>
    <row r="61" spans="1:14" x14ac:dyDescent="0.25">
      <c r="H61" t="s">
        <v>229</v>
      </c>
      <c r="K61">
        <v>322</v>
      </c>
      <c r="L61" s="354">
        <f t="shared" si="2"/>
        <v>2.6349044482996969E-5</v>
      </c>
    </row>
    <row r="62" spans="1:14" x14ac:dyDescent="0.25">
      <c r="L62" s="354"/>
    </row>
    <row r="63" spans="1:14" x14ac:dyDescent="0.25">
      <c r="H63" t="s">
        <v>230</v>
      </c>
      <c r="K63">
        <v>11637</v>
      </c>
      <c r="L63" s="354">
        <f>K63/$K$277</f>
        <v>9.5224792126905511E-4</v>
      </c>
    </row>
    <row r="64" spans="1:14" x14ac:dyDescent="0.25">
      <c r="H64" t="s">
        <v>231</v>
      </c>
      <c r="K64">
        <v>225</v>
      </c>
      <c r="L64" s="354">
        <f>K64/$K$277</f>
        <v>1.8411599405820863E-5</v>
      </c>
    </row>
    <row r="65" spans="8:12" x14ac:dyDescent="0.25">
      <c r="L65" s="354"/>
    </row>
    <row r="66" spans="8:12" x14ac:dyDescent="0.25">
      <c r="H66" t="s">
        <v>232</v>
      </c>
      <c r="K66">
        <v>45570</v>
      </c>
      <c r="L66" s="354">
        <f>K66/$K$277</f>
        <v>3.728962599658919E-3</v>
      </c>
    </row>
    <row r="67" spans="8:12" x14ac:dyDescent="0.25">
      <c r="L67" s="354"/>
    </row>
    <row r="68" spans="8:12" x14ac:dyDescent="0.25">
      <c r="L68" s="354"/>
    </row>
    <row r="69" spans="8:12" x14ac:dyDescent="0.25">
      <c r="H69" t="s">
        <v>233</v>
      </c>
      <c r="K69">
        <v>100</v>
      </c>
      <c r="L69" s="354">
        <f>K69/$K$277</f>
        <v>8.1829330692537182E-6</v>
      </c>
    </row>
    <row r="70" spans="8:12" x14ac:dyDescent="0.25">
      <c r="H70" t="s">
        <v>234</v>
      </c>
      <c r="K70">
        <v>175</v>
      </c>
      <c r="L70" s="354">
        <f>K70/$K$277</f>
        <v>1.4320132871194006E-5</v>
      </c>
    </row>
    <row r="71" spans="8:12" x14ac:dyDescent="0.25">
      <c r="L71" s="354"/>
    </row>
    <row r="72" spans="8:12" x14ac:dyDescent="0.25">
      <c r="H72" t="s">
        <v>235</v>
      </c>
      <c r="K72">
        <v>291</v>
      </c>
      <c r="L72" s="354">
        <f t="shared" ref="L72:L84" si="3">K72/$K$277</f>
        <v>2.3812335231528316E-5</v>
      </c>
    </row>
    <row r="73" spans="8:12" x14ac:dyDescent="0.25">
      <c r="H73" t="s">
        <v>236</v>
      </c>
      <c r="K73">
        <v>7855</v>
      </c>
      <c r="L73" s="354">
        <f t="shared" si="3"/>
        <v>6.4276939258987951E-4</v>
      </c>
    </row>
    <row r="74" spans="8:12" x14ac:dyDescent="0.25">
      <c r="H74" t="s">
        <v>237</v>
      </c>
      <c r="K74">
        <v>6049</v>
      </c>
      <c r="L74" s="354">
        <f t="shared" si="3"/>
        <v>4.9498562135915736E-4</v>
      </c>
    </row>
    <row r="75" spans="8:12" x14ac:dyDescent="0.25">
      <c r="H75" t="s">
        <v>238</v>
      </c>
      <c r="K75">
        <v>0</v>
      </c>
      <c r="L75" s="354">
        <f t="shared" si="3"/>
        <v>0</v>
      </c>
    </row>
    <row r="76" spans="8:12" x14ac:dyDescent="0.25">
      <c r="H76" t="s">
        <v>239</v>
      </c>
      <c r="K76">
        <v>1815</v>
      </c>
      <c r="L76" s="354">
        <f t="shared" si="3"/>
        <v>1.4852023520695498E-4</v>
      </c>
    </row>
    <row r="77" spans="8:12" x14ac:dyDescent="0.25">
      <c r="H77" t="s">
        <v>240</v>
      </c>
      <c r="K77">
        <v>18560</v>
      </c>
      <c r="L77" s="354">
        <f t="shared" si="3"/>
        <v>1.51875237765349E-3</v>
      </c>
    </row>
    <row r="78" spans="8:12" x14ac:dyDescent="0.25">
      <c r="H78" t="s">
        <v>241</v>
      </c>
      <c r="K78">
        <v>2771</v>
      </c>
      <c r="L78" s="354">
        <f t="shared" si="3"/>
        <v>2.267490753490205E-4</v>
      </c>
    </row>
    <row r="79" spans="8:12" x14ac:dyDescent="0.25">
      <c r="H79" t="s">
        <v>242</v>
      </c>
      <c r="K79">
        <v>1025</v>
      </c>
      <c r="L79" s="354">
        <f t="shared" si="3"/>
        <v>8.3875063959850605E-5</v>
      </c>
    </row>
    <row r="80" spans="8:12" x14ac:dyDescent="0.25">
      <c r="H80" t="s">
        <v>243</v>
      </c>
      <c r="K80">
        <v>477</v>
      </c>
      <c r="L80" s="354">
        <f t="shared" si="3"/>
        <v>3.9032590740340232E-5</v>
      </c>
    </row>
    <row r="81" spans="8:14" x14ac:dyDescent="0.25">
      <c r="H81" t="s">
        <v>244</v>
      </c>
      <c r="K81">
        <v>6885</v>
      </c>
      <c r="L81" s="354">
        <f t="shared" si="3"/>
        <v>5.6339494181811844E-4</v>
      </c>
    </row>
    <row r="82" spans="8:14" x14ac:dyDescent="0.25">
      <c r="H82" t="s">
        <v>245</v>
      </c>
      <c r="K82">
        <v>3</v>
      </c>
      <c r="L82" s="354">
        <f t="shared" si="3"/>
        <v>2.4548799207761154E-7</v>
      </c>
    </row>
    <row r="83" spans="8:14" x14ac:dyDescent="0.25">
      <c r="H83" t="s">
        <v>246</v>
      </c>
      <c r="K83">
        <v>4605</v>
      </c>
      <c r="L83" s="354">
        <f t="shared" si="3"/>
        <v>3.7682406783913367E-4</v>
      </c>
    </row>
    <row r="84" spans="8:14" x14ac:dyDescent="0.25">
      <c r="H84" t="s">
        <v>247</v>
      </c>
      <c r="K84">
        <v>1191</v>
      </c>
      <c r="L84" s="354">
        <f t="shared" si="3"/>
        <v>9.7458732854811776E-5</v>
      </c>
      <c r="M84">
        <f>SUM(K72:K84)</f>
        <v>51527</v>
      </c>
      <c r="N84" s="354">
        <f>SUM(L72:L84)</f>
        <v>4.2164199225943628E-3</v>
      </c>
    </row>
    <row r="85" spans="8:14" x14ac:dyDescent="0.25">
      <c r="L85" s="354"/>
    </row>
    <row r="86" spans="8:14" x14ac:dyDescent="0.25">
      <c r="L86" s="354"/>
    </row>
    <row r="87" spans="8:14" x14ac:dyDescent="0.25">
      <c r="H87" t="s">
        <v>248</v>
      </c>
      <c r="K87">
        <v>8</v>
      </c>
      <c r="L87" s="354">
        <f t="shared" ref="L87:L92" si="4">K87/$K$277</f>
        <v>6.5463464554029738E-7</v>
      </c>
    </row>
    <row r="88" spans="8:14" x14ac:dyDescent="0.25">
      <c r="H88" t="s">
        <v>249</v>
      </c>
      <c r="K88">
        <v>11</v>
      </c>
      <c r="L88" s="354">
        <f t="shared" si="4"/>
        <v>9.0012263761790887E-7</v>
      </c>
    </row>
    <row r="89" spans="8:14" x14ac:dyDescent="0.25">
      <c r="H89" t="s">
        <v>250</v>
      </c>
      <c r="K89">
        <v>9</v>
      </c>
      <c r="L89" s="354">
        <f t="shared" si="4"/>
        <v>7.3646397623283458E-7</v>
      </c>
    </row>
    <row r="90" spans="8:14" x14ac:dyDescent="0.25">
      <c r="H90" t="s">
        <v>251</v>
      </c>
      <c r="K90">
        <v>1068</v>
      </c>
      <c r="L90" s="354">
        <f t="shared" si="4"/>
        <v>8.7393725179629706E-5</v>
      </c>
    </row>
    <row r="91" spans="8:14" x14ac:dyDescent="0.25">
      <c r="H91" t="s">
        <v>252</v>
      </c>
      <c r="K91">
        <v>5639</v>
      </c>
      <c r="L91" s="354">
        <f t="shared" si="4"/>
        <v>4.6143559577521714E-4</v>
      </c>
    </row>
    <row r="92" spans="8:14" x14ac:dyDescent="0.25">
      <c r="H92" t="s">
        <v>253</v>
      </c>
      <c r="K92">
        <v>2006</v>
      </c>
      <c r="L92" s="354">
        <f t="shared" si="4"/>
        <v>1.6414963736922957E-4</v>
      </c>
    </row>
    <row r="93" spans="8:14" x14ac:dyDescent="0.25">
      <c r="L93" s="354"/>
    </row>
    <row r="94" spans="8:14" x14ac:dyDescent="0.25">
      <c r="H94" s="357" t="s">
        <v>254</v>
      </c>
      <c r="I94" s="357"/>
      <c r="J94" s="357"/>
      <c r="K94" s="357">
        <v>927319</v>
      </c>
      <c r="L94" s="359">
        <f>K94/$K$277</f>
        <v>7.5881893108472875E-2</v>
      </c>
      <c r="M94" s="357"/>
      <c r="N94" s="357"/>
    </row>
    <row r="95" spans="8:14" x14ac:dyDescent="0.25">
      <c r="H95" s="357" t="s">
        <v>255</v>
      </c>
      <c r="I95" s="357"/>
      <c r="J95" s="357"/>
      <c r="K95" s="357">
        <v>166536</v>
      </c>
      <c r="L95" s="359">
        <f>K95/$K$277</f>
        <v>1.3627529416212371E-2</v>
      </c>
      <c r="M95" s="357"/>
      <c r="N95" s="357"/>
    </row>
    <row r="96" spans="8:14" x14ac:dyDescent="0.25">
      <c r="H96" s="357" t="s">
        <v>256</v>
      </c>
      <c r="I96" s="357"/>
      <c r="J96" s="357"/>
      <c r="K96" s="357">
        <v>11995</v>
      </c>
      <c r="L96" s="359">
        <f>K96/$K$277</f>
        <v>9.815428216569833E-4</v>
      </c>
      <c r="M96" s="357"/>
      <c r="N96" s="357"/>
    </row>
    <row r="97" spans="8:15" x14ac:dyDescent="0.25">
      <c r="H97" s="357" t="s">
        <v>257</v>
      </c>
      <c r="I97" s="357"/>
      <c r="J97" s="357"/>
      <c r="K97" s="357">
        <v>285565</v>
      </c>
      <c r="L97" s="359">
        <f>K97/$K$277</f>
        <v>2.3367592819214376E-2</v>
      </c>
      <c r="M97" s="362">
        <f>SUM(K94:K97)</f>
        <v>1391415</v>
      </c>
      <c r="N97" s="361">
        <f>SUM(L94:L97)</f>
        <v>0.11385855816555659</v>
      </c>
    </row>
    <row r="98" spans="8:15" x14ac:dyDescent="0.25">
      <c r="L98" s="354"/>
      <c r="M98" s="185"/>
      <c r="N98" s="355"/>
    </row>
    <row r="99" spans="8:15" x14ac:dyDescent="0.25">
      <c r="H99" t="s">
        <v>258</v>
      </c>
      <c r="K99">
        <v>5</v>
      </c>
      <c r="L99" s="354">
        <f t="shared" ref="L99:L104" si="5">K99/$K$277</f>
        <v>4.0914665346268589E-7</v>
      </c>
    </row>
    <row r="100" spans="8:15" x14ac:dyDescent="0.25">
      <c r="H100" t="s">
        <v>259</v>
      </c>
      <c r="K100">
        <v>7911</v>
      </c>
      <c r="L100" s="354">
        <f t="shared" si="5"/>
        <v>6.4735183510866159E-4</v>
      </c>
    </row>
    <row r="101" spans="8:15" x14ac:dyDescent="0.25">
      <c r="H101" t="s">
        <v>260</v>
      </c>
      <c r="K101">
        <v>5195</v>
      </c>
      <c r="L101" s="354">
        <f t="shared" si="5"/>
        <v>4.2510337294773061E-4</v>
      </c>
    </row>
    <row r="102" spans="8:15" x14ac:dyDescent="0.25">
      <c r="H102" t="s">
        <v>261</v>
      </c>
      <c r="K102">
        <v>7963</v>
      </c>
      <c r="L102" s="354">
        <f t="shared" si="5"/>
        <v>6.5160696030467356E-4</v>
      </c>
    </row>
    <row r="103" spans="8:15" x14ac:dyDescent="0.25">
      <c r="H103" t="s">
        <v>262</v>
      </c>
      <c r="K103">
        <v>766</v>
      </c>
      <c r="L103" s="354">
        <f t="shared" si="5"/>
        <v>6.2681267310483473E-5</v>
      </c>
    </row>
    <row r="104" spans="8:15" x14ac:dyDescent="0.25">
      <c r="H104" t="s">
        <v>263</v>
      </c>
      <c r="K104">
        <v>25512</v>
      </c>
      <c r="L104" s="354">
        <f t="shared" si="5"/>
        <v>2.0876298846280086E-3</v>
      </c>
    </row>
    <row r="105" spans="8:15" x14ac:dyDescent="0.25">
      <c r="L105" s="354"/>
    </row>
    <row r="106" spans="8:15" x14ac:dyDescent="0.25">
      <c r="H106" t="s">
        <v>264</v>
      </c>
      <c r="K106">
        <v>86889</v>
      </c>
      <c r="L106" s="354">
        <f>K106/$K$277</f>
        <v>7.1100687145438622E-3</v>
      </c>
    </row>
    <row r="107" spans="8:15" x14ac:dyDescent="0.25">
      <c r="H107" t="s">
        <v>265</v>
      </c>
      <c r="K107">
        <v>30861</v>
      </c>
      <c r="L107" s="354">
        <f>K107/$K$277</f>
        <v>2.5253349745023895E-3</v>
      </c>
      <c r="M107" s="185">
        <f>SUM(K106:K107)</f>
        <v>117750</v>
      </c>
      <c r="N107" s="354">
        <f>SUM(L106:L107)</f>
        <v>9.6354036890462513E-3</v>
      </c>
      <c r="O107" s="357" t="s">
        <v>138</v>
      </c>
    </row>
    <row r="108" spans="8:15" x14ac:dyDescent="0.25">
      <c r="L108" s="354"/>
    </row>
    <row r="109" spans="8:15" x14ac:dyDescent="0.25">
      <c r="H109" t="s">
        <v>266</v>
      </c>
      <c r="K109">
        <v>70241</v>
      </c>
      <c r="L109" s="354">
        <f>K109/$K$277</f>
        <v>5.7477740171745038E-3</v>
      </c>
    </row>
    <row r="110" spans="8:15" x14ac:dyDescent="0.25">
      <c r="L110" s="354"/>
    </row>
    <row r="111" spans="8:15" x14ac:dyDescent="0.25">
      <c r="H111" t="s">
        <v>267</v>
      </c>
      <c r="K111">
        <v>41677</v>
      </c>
      <c r="L111" s="354">
        <f>K111/$K$277</f>
        <v>3.4104010152728719E-3</v>
      </c>
    </row>
    <row r="112" spans="8:15" x14ac:dyDescent="0.25">
      <c r="H112" t="s">
        <v>268</v>
      </c>
      <c r="K112">
        <v>38523</v>
      </c>
      <c r="L112" s="354">
        <f>K112/$K$277</f>
        <v>3.1523113062686095E-3</v>
      </c>
    </row>
    <row r="113" spans="8:14" x14ac:dyDescent="0.25">
      <c r="H113" t="s">
        <v>269</v>
      </c>
      <c r="K113">
        <v>3335</v>
      </c>
      <c r="L113" s="354">
        <f>K113/$K$277</f>
        <v>2.7290081785961149E-4</v>
      </c>
      <c r="M113">
        <f>SUM(K111:K113)</f>
        <v>83535</v>
      </c>
      <c r="N113" s="354">
        <f>SUM(L111:L113)</f>
        <v>6.8356131394010922E-3</v>
      </c>
    </row>
    <row r="114" spans="8:14" x14ac:dyDescent="0.25">
      <c r="L114" s="354"/>
    </row>
    <row r="115" spans="8:14" x14ac:dyDescent="0.25">
      <c r="H115" t="s">
        <v>270</v>
      </c>
      <c r="K115">
        <v>308189</v>
      </c>
      <c r="L115" s="354">
        <f>K115/$K$277</f>
        <v>2.521889959680234E-2</v>
      </c>
    </row>
    <row r="116" spans="8:14" x14ac:dyDescent="0.25">
      <c r="H116" t="s">
        <v>271</v>
      </c>
      <c r="K116">
        <v>35371</v>
      </c>
      <c r="L116" s="354">
        <f>K116/$K$277</f>
        <v>2.8943852559257322E-3</v>
      </c>
      <c r="M116" s="73">
        <f>SUM(K115:K116)</f>
        <v>343560</v>
      </c>
      <c r="N116" s="355">
        <f>SUM(L115:L116)</f>
        <v>2.8113284852728071E-2</v>
      </c>
    </row>
    <row r="117" spans="8:14" x14ac:dyDescent="0.25">
      <c r="L117" s="354"/>
    </row>
    <row r="118" spans="8:14" x14ac:dyDescent="0.25">
      <c r="H118" t="s">
        <v>272</v>
      </c>
      <c r="K118">
        <v>2822</v>
      </c>
      <c r="L118" s="354">
        <f>K118/$K$277</f>
        <v>2.3092237121433992E-4</v>
      </c>
    </row>
    <row r="119" spans="8:14" x14ac:dyDescent="0.25">
      <c r="H119" t="s">
        <v>273</v>
      </c>
      <c r="K119">
        <v>219</v>
      </c>
      <c r="L119" s="354">
        <f>K119/$K$277</f>
        <v>1.7920623421665641E-5</v>
      </c>
    </row>
    <row r="120" spans="8:14" x14ac:dyDescent="0.25">
      <c r="H120" t="s">
        <v>274</v>
      </c>
      <c r="K120">
        <v>596</v>
      </c>
      <c r="L120" s="354">
        <f>K120/$K$277</f>
        <v>4.8770281092752159E-5</v>
      </c>
    </row>
    <row r="121" spans="8:14" x14ac:dyDescent="0.25">
      <c r="H121" t="s">
        <v>275</v>
      </c>
      <c r="K121">
        <v>330</v>
      </c>
      <c r="L121" s="354">
        <f>K121/$K$277</f>
        <v>2.7003679128537266E-5</v>
      </c>
    </row>
    <row r="122" spans="8:14" x14ac:dyDescent="0.25">
      <c r="L122" s="354"/>
    </row>
    <row r="123" spans="8:14" x14ac:dyDescent="0.25">
      <c r="L123" s="354"/>
    </row>
    <row r="124" spans="8:14" x14ac:dyDescent="0.25">
      <c r="L124" s="354"/>
    </row>
    <row r="125" spans="8:14" x14ac:dyDescent="0.25">
      <c r="H125" t="s">
        <v>276</v>
      </c>
      <c r="K125">
        <v>6093</v>
      </c>
      <c r="L125" s="354">
        <f>K125/$K$277</f>
        <v>4.98586111909629E-4</v>
      </c>
    </row>
    <row r="126" spans="8:14" x14ac:dyDescent="0.25">
      <c r="H126" t="s">
        <v>277</v>
      </c>
      <c r="K126">
        <v>5151</v>
      </c>
      <c r="L126" s="354">
        <f>K126/$K$277</f>
        <v>4.2150288239725897E-4</v>
      </c>
    </row>
    <row r="127" spans="8:14" x14ac:dyDescent="0.25">
      <c r="H127" t="s">
        <v>278</v>
      </c>
      <c r="K127">
        <v>1995</v>
      </c>
      <c r="L127" s="354">
        <f>K127/$K$277</f>
        <v>1.6324951473161166E-4</v>
      </c>
    </row>
    <row r="128" spans="8:14" x14ac:dyDescent="0.25">
      <c r="H128" t="s">
        <v>279</v>
      </c>
      <c r="K128">
        <v>2939</v>
      </c>
      <c r="L128" s="354">
        <f>K128/$K$277</f>
        <v>2.4049640290536674E-4</v>
      </c>
    </row>
    <row r="129" spans="8:12" x14ac:dyDescent="0.25">
      <c r="L129" s="354"/>
    </row>
    <row r="130" spans="8:12" x14ac:dyDescent="0.25">
      <c r="H130" t="s">
        <v>280</v>
      </c>
      <c r="K130">
        <v>639</v>
      </c>
      <c r="L130" s="354">
        <f t="shared" ref="L130:L138" si="6">K130/$K$277</f>
        <v>5.2288942312531253E-5</v>
      </c>
    </row>
    <row r="131" spans="8:12" x14ac:dyDescent="0.25">
      <c r="H131" t="s">
        <v>281</v>
      </c>
      <c r="K131">
        <v>2068</v>
      </c>
      <c r="L131" s="354">
        <f t="shared" si="6"/>
        <v>1.6922305587216687E-4</v>
      </c>
    </row>
    <row r="132" spans="8:12" x14ac:dyDescent="0.25">
      <c r="H132" t="s">
        <v>282</v>
      </c>
      <c r="K132">
        <v>8709</v>
      </c>
      <c r="L132" s="354">
        <f t="shared" si="6"/>
        <v>7.126516410013062E-4</v>
      </c>
    </row>
    <row r="133" spans="8:12" x14ac:dyDescent="0.25">
      <c r="H133" t="s">
        <v>283</v>
      </c>
      <c r="K133">
        <v>15194</v>
      </c>
      <c r="L133" s="354">
        <f t="shared" si="6"/>
        <v>1.2433148505424099E-3</v>
      </c>
    </row>
    <row r="134" spans="8:12" x14ac:dyDescent="0.25">
      <c r="H134" t="s">
        <v>284</v>
      </c>
      <c r="K134">
        <v>7678</v>
      </c>
      <c r="L134" s="354">
        <f t="shared" si="6"/>
        <v>6.2828560105730041E-4</v>
      </c>
    </row>
    <row r="135" spans="8:12" x14ac:dyDescent="0.25">
      <c r="H135" t="s">
        <v>285</v>
      </c>
      <c r="K135">
        <v>7730</v>
      </c>
      <c r="L135" s="354">
        <f t="shared" si="6"/>
        <v>6.3254072625331238E-4</v>
      </c>
    </row>
    <row r="136" spans="8:12" x14ac:dyDescent="0.25">
      <c r="H136" t="s">
        <v>286</v>
      </c>
      <c r="K136">
        <v>11931</v>
      </c>
      <c r="L136" s="354">
        <f t="shared" si="6"/>
        <v>9.76305744492661E-4</v>
      </c>
    </row>
    <row r="137" spans="8:12" x14ac:dyDescent="0.25">
      <c r="H137" t="s">
        <v>287</v>
      </c>
      <c r="K137">
        <v>5743</v>
      </c>
      <c r="L137" s="354">
        <f t="shared" si="6"/>
        <v>4.6994584616724097E-4</v>
      </c>
    </row>
    <row r="138" spans="8:12" x14ac:dyDescent="0.25">
      <c r="H138" t="s">
        <v>288</v>
      </c>
      <c r="K138">
        <v>4829</v>
      </c>
      <c r="L138" s="354">
        <f t="shared" si="6"/>
        <v>3.9515383791426199E-4</v>
      </c>
    </row>
    <row r="139" spans="8:12" x14ac:dyDescent="0.25">
      <c r="L139" s="354"/>
    </row>
    <row r="140" spans="8:12" x14ac:dyDescent="0.25">
      <c r="H140" t="s">
        <v>289</v>
      </c>
      <c r="K140">
        <v>121</v>
      </c>
      <c r="L140" s="354">
        <f>K140/$K$277</f>
        <v>9.9013490137969981E-6</v>
      </c>
    </row>
    <row r="141" spans="8:12" x14ac:dyDescent="0.25">
      <c r="H141" t="s">
        <v>290</v>
      </c>
      <c r="K141">
        <v>2656</v>
      </c>
      <c r="L141" s="354">
        <f>K141/$K$277</f>
        <v>2.1733870231937873E-4</v>
      </c>
    </row>
    <row r="142" spans="8:12" x14ac:dyDescent="0.25">
      <c r="H142" t="s">
        <v>291</v>
      </c>
      <c r="K142">
        <v>12263</v>
      </c>
      <c r="L142" s="354">
        <f>K142/$K$277</f>
        <v>1.0034730822825833E-3</v>
      </c>
    </row>
    <row r="143" spans="8:12" x14ac:dyDescent="0.25">
      <c r="H143" t="s">
        <v>292</v>
      </c>
      <c r="K143">
        <v>13846</v>
      </c>
      <c r="L143" s="354">
        <f>K143/$K$277</f>
        <v>1.1330089127688696E-3</v>
      </c>
    </row>
    <row r="144" spans="8:12" x14ac:dyDescent="0.25">
      <c r="H144" t="s">
        <v>293</v>
      </c>
      <c r="K144">
        <v>2639</v>
      </c>
      <c r="L144" s="354">
        <f>K144/$K$277</f>
        <v>2.159476036976056E-4</v>
      </c>
    </row>
    <row r="145" spans="8:12" x14ac:dyDescent="0.25">
      <c r="L145" s="354"/>
    </row>
    <row r="146" spans="8:12" x14ac:dyDescent="0.25">
      <c r="H146" t="s">
        <v>294</v>
      </c>
      <c r="K146">
        <v>4754</v>
      </c>
      <c r="L146" s="354">
        <f>K146/$K$277</f>
        <v>3.8901663811232172E-4</v>
      </c>
    </row>
    <row r="147" spans="8:12" x14ac:dyDescent="0.25">
      <c r="L147" s="354"/>
    </row>
    <row r="148" spans="8:12" x14ac:dyDescent="0.25">
      <c r="H148" t="s">
        <v>295</v>
      </c>
      <c r="K148">
        <v>3575</v>
      </c>
      <c r="L148" s="354">
        <f>K148/$K$277</f>
        <v>2.9253985722582041E-4</v>
      </c>
    </row>
    <row r="149" spans="8:12" x14ac:dyDescent="0.25">
      <c r="H149" t="s">
        <v>296</v>
      </c>
      <c r="K149">
        <v>2176</v>
      </c>
      <c r="L149" s="354">
        <f>K149/$K$277</f>
        <v>1.7806062358696089E-4</v>
      </c>
    </row>
    <row r="150" spans="8:12" x14ac:dyDescent="0.25">
      <c r="L150" s="354"/>
    </row>
    <row r="151" spans="8:12" x14ac:dyDescent="0.25">
      <c r="H151" t="s">
        <v>297</v>
      </c>
      <c r="K151">
        <v>4485</v>
      </c>
      <c r="L151" s="354">
        <f t="shared" ref="L151:L159" si="7">K151/$K$277</f>
        <v>3.6700454815602923E-4</v>
      </c>
    </row>
    <row r="152" spans="8:12" x14ac:dyDescent="0.25">
      <c r="H152" t="s">
        <v>298</v>
      </c>
      <c r="K152">
        <v>824</v>
      </c>
      <c r="L152" s="354">
        <f t="shared" si="7"/>
        <v>6.7427368490650635E-5</v>
      </c>
    </row>
    <row r="153" spans="8:12" x14ac:dyDescent="0.25">
      <c r="H153" t="s">
        <v>299</v>
      </c>
      <c r="K153">
        <v>4206</v>
      </c>
      <c r="L153" s="354">
        <f t="shared" si="7"/>
        <v>3.4417416489281136E-4</v>
      </c>
    </row>
    <row r="154" spans="8:12" x14ac:dyDescent="0.25">
      <c r="H154" t="s">
        <v>300</v>
      </c>
      <c r="K154">
        <v>277</v>
      </c>
      <c r="L154" s="354">
        <f t="shared" si="7"/>
        <v>2.2666724601832796E-5</v>
      </c>
    </row>
    <row r="155" spans="8:12" x14ac:dyDescent="0.25">
      <c r="H155" t="s">
        <v>301</v>
      </c>
      <c r="K155">
        <v>79777</v>
      </c>
      <c r="L155" s="354">
        <f t="shared" si="7"/>
        <v>6.5280985146585384E-3</v>
      </c>
    </row>
    <row r="156" spans="8:12" x14ac:dyDescent="0.25">
      <c r="H156" t="s">
        <v>302</v>
      </c>
      <c r="K156">
        <v>472</v>
      </c>
      <c r="L156" s="354">
        <f t="shared" si="7"/>
        <v>3.8623444086877548E-5</v>
      </c>
    </row>
    <row r="157" spans="8:12" x14ac:dyDescent="0.25">
      <c r="H157" t="s">
        <v>303</v>
      </c>
      <c r="K157">
        <v>32036</v>
      </c>
      <c r="L157" s="354">
        <f t="shared" si="7"/>
        <v>2.621484438066121E-3</v>
      </c>
    </row>
    <row r="158" spans="8:12" x14ac:dyDescent="0.25">
      <c r="H158" t="s">
        <v>304</v>
      </c>
      <c r="K158">
        <v>22000</v>
      </c>
      <c r="L158" s="354">
        <f t="shared" si="7"/>
        <v>1.8002452752358179E-3</v>
      </c>
    </row>
    <row r="159" spans="8:12" x14ac:dyDescent="0.25">
      <c r="H159" t="s">
        <v>305</v>
      </c>
      <c r="K159">
        <v>11987</v>
      </c>
      <c r="L159" s="354">
        <f t="shared" si="7"/>
        <v>9.8088818701144308E-4</v>
      </c>
    </row>
    <row r="160" spans="8:12" x14ac:dyDescent="0.25">
      <c r="L160" s="354"/>
    </row>
    <row r="161" spans="8:15" x14ac:dyDescent="0.25">
      <c r="L161" s="354"/>
    </row>
    <row r="162" spans="8:15" x14ac:dyDescent="0.25">
      <c r="H162" t="s">
        <v>306</v>
      </c>
      <c r="K162">
        <v>37841</v>
      </c>
      <c r="L162" s="354">
        <f t="shared" ref="L162:L170" si="8">K162/$K$277</f>
        <v>3.0965037027362993E-3</v>
      </c>
    </row>
    <row r="163" spans="8:15" x14ac:dyDescent="0.25">
      <c r="H163" t="s">
        <v>307</v>
      </c>
      <c r="K163">
        <v>6052</v>
      </c>
      <c r="L163" s="354">
        <f t="shared" si="8"/>
        <v>4.9523110935123494E-4</v>
      </c>
    </row>
    <row r="164" spans="8:15" x14ac:dyDescent="0.25">
      <c r="H164" t="s">
        <v>308</v>
      </c>
      <c r="K164">
        <v>8215</v>
      </c>
      <c r="L164" s="354">
        <f t="shared" si="8"/>
        <v>6.7222795163919286E-4</v>
      </c>
    </row>
    <row r="165" spans="8:15" x14ac:dyDescent="0.25">
      <c r="H165" t="s">
        <v>309</v>
      </c>
      <c r="K165">
        <v>101</v>
      </c>
      <c r="L165" s="354">
        <f t="shared" si="8"/>
        <v>8.2647623999462541E-6</v>
      </c>
    </row>
    <row r="166" spans="8:15" x14ac:dyDescent="0.25">
      <c r="H166" t="s">
        <v>310</v>
      </c>
      <c r="K166">
        <v>400</v>
      </c>
      <c r="L166" s="354">
        <f t="shared" si="8"/>
        <v>3.2731732277014873E-5</v>
      </c>
    </row>
    <row r="167" spans="8:15" x14ac:dyDescent="0.25">
      <c r="H167" t="s">
        <v>311</v>
      </c>
      <c r="K167">
        <v>1189</v>
      </c>
      <c r="L167" s="354">
        <f t="shared" si="8"/>
        <v>9.7295074193426694E-5</v>
      </c>
    </row>
    <row r="168" spans="8:15" x14ac:dyDescent="0.25">
      <c r="H168" t="s">
        <v>312</v>
      </c>
      <c r="K168">
        <v>1926</v>
      </c>
      <c r="L168" s="354">
        <f t="shared" si="8"/>
        <v>1.5760329091382659E-4</v>
      </c>
    </row>
    <row r="169" spans="8:15" x14ac:dyDescent="0.25">
      <c r="H169" t="s">
        <v>313</v>
      </c>
      <c r="K169">
        <v>675</v>
      </c>
      <c r="L169" s="354">
        <f t="shared" si="8"/>
        <v>5.5234798217462593E-5</v>
      </c>
    </row>
    <row r="170" spans="8:15" x14ac:dyDescent="0.25">
      <c r="H170" t="s">
        <v>314</v>
      </c>
      <c r="K170">
        <v>6469</v>
      </c>
      <c r="L170" s="354">
        <f t="shared" si="8"/>
        <v>5.2935394025002301E-4</v>
      </c>
    </row>
    <row r="171" spans="8:15" x14ac:dyDescent="0.25">
      <c r="L171" s="354"/>
    </row>
    <row r="172" spans="8:15" x14ac:dyDescent="0.25">
      <c r="H172" s="357" t="s">
        <v>315</v>
      </c>
      <c r="I172" s="357"/>
      <c r="J172" s="357"/>
      <c r="K172" s="357">
        <v>707599</v>
      </c>
      <c r="L172" s="359">
        <f>K172/$K$277</f>
        <v>5.7902352568708612E-2</v>
      </c>
      <c r="M172" s="357"/>
      <c r="N172" s="357"/>
      <c r="O172" t="s">
        <v>138</v>
      </c>
    </row>
    <row r="173" spans="8:15" x14ac:dyDescent="0.25">
      <c r="H173" s="357" t="s">
        <v>316</v>
      </c>
      <c r="I173" s="357"/>
      <c r="J173" s="357"/>
      <c r="K173" s="357">
        <v>215286</v>
      </c>
      <c r="L173" s="359">
        <f>K173/$K$277</f>
        <v>1.7616709287473557E-2</v>
      </c>
      <c r="M173" s="357"/>
      <c r="N173" s="357"/>
    </row>
    <row r="174" spans="8:15" x14ac:dyDescent="0.25">
      <c r="H174" s="357" t="s">
        <v>317</v>
      </c>
      <c r="I174" s="357"/>
      <c r="J174" s="357"/>
      <c r="K174" s="357">
        <v>290943</v>
      </c>
      <c r="L174" s="359">
        <f>K174/$K$277</f>
        <v>2.3807670959678843E-2</v>
      </c>
      <c r="M174" s="357"/>
      <c r="N174" s="357"/>
    </row>
    <row r="175" spans="8:15" x14ac:dyDescent="0.25">
      <c r="H175" s="357" t="s">
        <v>318</v>
      </c>
      <c r="I175" s="357"/>
      <c r="J175" s="357"/>
      <c r="K175" s="357">
        <v>69122</v>
      </c>
      <c r="L175" s="359">
        <f>K175/$K$277</f>
        <v>5.6562069961295543E-3</v>
      </c>
      <c r="M175" s="362">
        <f>SUM(K172:K175)</f>
        <v>1282950</v>
      </c>
      <c r="N175" s="361">
        <f>SUM(L172:L175)</f>
        <v>0.10498293981199056</v>
      </c>
    </row>
    <row r="176" spans="8:15" x14ac:dyDescent="0.25">
      <c r="L176" s="354"/>
    </row>
    <row r="177" spans="8:15" x14ac:dyDescent="0.25">
      <c r="H177" t="s">
        <v>319</v>
      </c>
      <c r="K177">
        <v>1261</v>
      </c>
      <c r="L177" s="354">
        <f t="shared" ref="L177:L185" si="9">K177/$K$277</f>
        <v>1.0318678600328938E-4</v>
      </c>
    </row>
    <row r="178" spans="8:15" x14ac:dyDescent="0.25">
      <c r="H178" t="s">
        <v>320</v>
      </c>
      <c r="K178">
        <v>575</v>
      </c>
      <c r="L178" s="354">
        <f t="shared" si="9"/>
        <v>4.7051865148208872E-5</v>
      </c>
    </row>
    <row r="179" spans="8:15" x14ac:dyDescent="0.25">
      <c r="H179" t="s">
        <v>321</v>
      </c>
      <c r="K179">
        <v>1071</v>
      </c>
      <c r="L179" s="354">
        <f t="shared" si="9"/>
        <v>8.7639213171707316E-5</v>
      </c>
    </row>
    <row r="180" spans="8:15" x14ac:dyDescent="0.25">
      <c r="H180" t="s">
        <v>322</v>
      </c>
      <c r="K180">
        <v>25660</v>
      </c>
      <c r="L180" s="354">
        <f t="shared" si="9"/>
        <v>2.0997406255705039E-3</v>
      </c>
    </row>
    <row r="181" spans="8:15" x14ac:dyDescent="0.25">
      <c r="H181" t="s">
        <v>323</v>
      </c>
      <c r="K181">
        <v>12284</v>
      </c>
      <c r="L181" s="354">
        <f t="shared" si="9"/>
        <v>1.0051914982271266E-3</v>
      </c>
    </row>
    <row r="182" spans="8:15" x14ac:dyDescent="0.25">
      <c r="H182" s="357" t="s">
        <v>324</v>
      </c>
      <c r="I182" s="357"/>
      <c r="J182" s="357"/>
      <c r="K182" s="357">
        <v>131421</v>
      </c>
      <c r="L182" s="359">
        <f t="shared" si="9"/>
        <v>1.0754092468943929E-2</v>
      </c>
      <c r="O182" t="s">
        <v>138</v>
      </c>
    </row>
    <row r="183" spans="8:15" x14ac:dyDescent="0.25">
      <c r="H183" s="357" t="s">
        <v>325</v>
      </c>
      <c r="I183" s="357"/>
      <c r="J183" s="357"/>
      <c r="K183" s="357">
        <v>24405</v>
      </c>
      <c r="L183" s="359">
        <f t="shared" si="9"/>
        <v>1.9970448155513698E-3</v>
      </c>
      <c r="M183">
        <f>SUM(K182:K183)</f>
        <v>155826</v>
      </c>
      <c r="N183" s="359">
        <f>L182+L183</f>
        <v>1.2751137284495298E-2</v>
      </c>
      <c r="O183" t="s">
        <v>138</v>
      </c>
    </row>
    <row r="184" spans="8:15" x14ac:dyDescent="0.25">
      <c r="H184" t="s">
        <v>326</v>
      </c>
      <c r="K184">
        <v>239</v>
      </c>
      <c r="L184" s="354">
        <f t="shared" si="9"/>
        <v>1.9557210035516383E-5</v>
      </c>
    </row>
    <row r="185" spans="8:15" x14ac:dyDescent="0.25">
      <c r="H185" t="s">
        <v>327</v>
      </c>
      <c r="K185">
        <v>6371</v>
      </c>
      <c r="L185" s="354">
        <f t="shared" si="9"/>
        <v>5.2133466584215434E-4</v>
      </c>
    </row>
    <row r="186" spans="8:15" x14ac:dyDescent="0.25">
      <c r="L186" s="354"/>
    </row>
    <row r="187" spans="8:15" x14ac:dyDescent="0.25">
      <c r="H187" t="s">
        <v>328</v>
      </c>
      <c r="K187">
        <v>2123</v>
      </c>
      <c r="L187" s="354">
        <f>K187/$K$277</f>
        <v>1.7372366906025642E-4</v>
      </c>
    </row>
    <row r="188" spans="8:15" x14ac:dyDescent="0.25">
      <c r="H188" t="s">
        <v>329</v>
      </c>
      <c r="K188">
        <v>43</v>
      </c>
      <c r="L188" s="354">
        <f>K188/$K$277</f>
        <v>3.5186612197790983E-6</v>
      </c>
    </row>
    <row r="189" spans="8:15" x14ac:dyDescent="0.25">
      <c r="H189" t="s">
        <v>330</v>
      </c>
      <c r="K189">
        <v>33518</v>
      </c>
      <c r="L189" s="354">
        <f>K189/$K$277</f>
        <v>2.742755506152461E-3</v>
      </c>
    </row>
    <row r="190" spans="8:15" x14ac:dyDescent="0.25">
      <c r="H190" t="s">
        <v>331</v>
      </c>
      <c r="K190">
        <v>1192</v>
      </c>
      <c r="L190" s="354">
        <f>K190/$K$277</f>
        <v>9.7540562185504317E-5</v>
      </c>
    </row>
    <row r="191" spans="8:15" x14ac:dyDescent="0.25">
      <c r="H191" t="s">
        <v>332</v>
      </c>
      <c r="K191">
        <v>36678</v>
      </c>
      <c r="L191" s="354">
        <f>K191/$K$277</f>
        <v>3.0013361911408786E-3</v>
      </c>
    </row>
    <row r="192" spans="8:15" x14ac:dyDescent="0.25">
      <c r="L192" s="354"/>
    </row>
    <row r="193" spans="8:12" x14ac:dyDescent="0.25">
      <c r="H193" t="s">
        <v>333</v>
      </c>
      <c r="K193">
        <v>60</v>
      </c>
      <c r="L193" s="354">
        <f>K193/$K$277</f>
        <v>4.9097598415522302E-6</v>
      </c>
    </row>
    <row r="194" spans="8:12" x14ac:dyDescent="0.25">
      <c r="H194" t="s">
        <v>334</v>
      </c>
      <c r="K194">
        <v>36</v>
      </c>
      <c r="L194" s="354">
        <f>K194/$K$277</f>
        <v>2.9458559049313383E-6</v>
      </c>
    </row>
    <row r="195" spans="8:12" x14ac:dyDescent="0.25">
      <c r="H195" t="s">
        <v>335</v>
      </c>
      <c r="K195">
        <v>1525</v>
      </c>
      <c r="L195" s="354">
        <f>K195/$K$277</f>
        <v>1.247897293061192E-4</v>
      </c>
    </row>
    <row r="196" spans="8:12" x14ac:dyDescent="0.25">
      <c r="H196" t="s">
        <v>336</v>
      </c>
      <c r="K196">
        <v>628</v>
      </c>
      <c r="L196" s="354">
        <f>K196/$K$277</f>
        <v>5.1388819674913342E-5</v>
      </c>
    </row>
    <row r="197" spans="8:12" x14ac:dyDescent="0.25">
      <c r="L197" s="354"/>
    </row>
    <row r="198" spans="8:12" x14ac:dyDescent="0.25">
      <c r="H198" t="s">
        <v>337</v>
      </c>
      <c r="K198">
        <v>18917</v>
      </c>
      <c r="L198" s="354">
        <f t="shared" ref="L198:L209" si="10">K198/$K$277</f>
        <v>1.5479654487107258E-3</v>
      </c>
    </row>
    <row r="199" spans="8:12" x14ac:dyDescent="0.25">
      <c r="H199" t="s">
        <v>338</v>
      </c>
      <c r="K199">
        <v>30473</v>
      </c>
      <c r="L199" s="354">
        <f t="shared" si="10"/>
        <v>2.4935851941936854E-3</v>
      </c>
    </row>
    <row r="200" spans="8:12" x14ac:dyDescent="0.25">
      <c r="H200" t="s">
        <v>339</v>
      </c>
      <c r="K200">
        <v>4045</v>
      </c>
      <c r="L200" s="354">
        <f t="shared" si="10"/>
        <v>3.3099964265131287E-4</v>
      </c>
    </row>
    <row r="201" spans="8:12" x14ac:dyDescent="0.25">
      <c r="H201" t="s">
        <v>340</v>
      </c>
      <c r="K201">
        <v>13395</v>
      </c>
      <c r="L201" s="354">
        <f t="shared" si="10"/>
        <v>1.0961038846265354E-3</v>
      </c>
    </row>
    <row r="202" spans="8:12" x14ac:dyDescent="0.25">
      <c r="H202" t="s">
        <v>341</v>
      </c>
      <c r="K202">
        <v>93259</v>
      </c>
      <c r="L202" s="354">
        <f t="shared" si="10"/>
        <v>7.6313215510553246E-3</v>
      </c>
    </row>
    <row r="203" spans="8:12" x14ac:dyDescent="0.25">
      <c r="H203" t="s">
        <v>342</v>
      </c>
      <c r="K203">
        <v>23539</v>
      </c>
      <c r="L203" s="354">
        <f t="shared" si="10"/>
        <v>1.9261806151716326E-3</v>
      </c>
    </row>
    <row r="204" spans="8:12" x14ac:dyDescent="0.25">
      <c r="H204" t="s">
        <v>343</v>
      </c>
      <c r="K204">
        <v>5902</v>
      </c>
      <c r="L204" s="354">
        <f t="shared" si="10"/>
        <v>4.8295670974735441E-4</v>
      </c>
    </row>
    <row r="205" spans="8:12" x14ac:dyDescent="0.25">
      <c r="H205" t="s">
        <v>344</v>
      </c>
      <c r="K205">
        <v>57171</v>
      </c>
      <c r="L205" s="354">
        <f t="shared" si="10"/>
        <v>4.6782646650230424E-3</v>
      </c>
    </row>
    <row r="206" spans="8:12" x14ac:dyDescent="0.25">
      <c r="H206" t="s">
        <v>345</v>
      </c>
      <c r="K206">
        <v>14881</v>
      </c>
      <c r="L206" s="354">
        <f t="shared" si="10"/>
        <v>1.2177022700356457E-3</v>
      </c>
    </row>
    <row r="207" spans="8:12" x14ac:dyDescent="0.25">
      <c r="H207" t="s">
        <v>346</v>
      </c>
      <c r="K207">
        <v>52266</v>
      </c>
      <c r="L207" s="354">
        <f t="shared" si="10"/>
        <v>4.2768917979761475E-3</v>
      </c>
    </row>
    <row r="208" spans="8:12" x14ac:dyDescent="0.25">
      <c r="H208" t="s">
        <v>347</v>
      </c>
      <c r="K208">
        <v>109774</v>
      </c>
      <c r="L208" s="354">
        <f t="shared" si="10"/>
        <v>8.982732947442576E-3</v>
      </c>
    </row>
    <row r="209" spans="8:14" x14ac:dyDescent="0.25">
      <c r="H209" t="s">
        <v>348</v>
      </c>
      <c r="K209">
        <v>2576</v>
      </c>
      <c r="L209" s="354">
        <f t="shared" si="10"/>
        <v>2.1079235586397575E-4</v>
      </c>
    </row>
    <row r="210" spans="8:14" x14ac:dyDescent="0.25">
      <c r="L210" s="354"/>
    </row>
    <row r="211" spans="8:14" x14ac:dyDescent="0.25">
      <c r="H211" t="s">
        <v>349</v>
      </c>
      <c r="K211">
        <v>142026</v>
      </c>
      <c r="L211" s="354">
        <f>K211/$K$277</f>
        <v>1.1621892520938284E-2</v>
      </c>
    </row>
    <row r="212" spans="8:14" x14ac:dyDescent="0.25">
      <c r="H212" s="357" t="s">
        <v>350</v>
      </c>
      <c r="I212" s="357"/>
      <c r="J212" s="357"/>
      <c r="K212" s="358">
        <v>2282310</v>
      </c>
      <c r="L212" s="359">
        <f>K212/$K$277</f>
        <v>0.18675989973288451</v>
      </c>
      <c r="M212" s="360">
        <f>K212+K211</f>
        <v>2424336</v>
      </c>
      <c r="N212" s="361">
        <f>L212+L211</f>
        <v>0.1983817922538228</v>
      </c>
    </row>
    <row r="213" spans="8:14" x14ac:dyDescent="0.25">
      <c r="H213" t="s">
        <v>351</v>
      </c>
      <c r="K213">
        <v>1279</v>
      </c>
      <c r="L213" s="354">
        <f>K213/$K$277</f>
        <v>1.0465971395575505E-4</v>
      </c>
    </row>
    <row r="214" spans="8:14" x14ac:dyDescent="0.25">
      <c r="L214" s="354"/>
    </row>
    <row r="215" spans="8:14" x14ac:dyDescent="0.25">
      <c r="H215" s="357" t="s">
        <v>352</v>
      </c>
      <c r="I215" s="357"/>
      <c r="J215" s="357"/>
      <c r="K215" s="357">
        <v>588</v>
      </c>
      <c r="L215" s="359">
        <f t="shared" ref="L215:L227" si="11">K215/$K$277</f>
        <v>4.8115646447211858E-5</v>
      </c>
      <c r="M215" s="357"/>
      <c r="N215" s="357"/>
    </row>
    <row r="216" spans="8:14" x14ac:dyDescent="0.25">
      <c r="H216" s="357" t="s">
        <v>353</v>
      </c>
      <c r="I216" s="357"/>
      <c r="J216" s="357"/>
      <c r="K216" s="357">
        <v>180728</v>
      </c>
      <c r="L216" s="359">
        <f t="shared" si="11"/>
        <v>1.4788851277400858E-2</v>
      </c>
      <c r="M216" s="357"/>
      <c r="N216" s="357"/>
    </row>
    <row r="217" spans="8:14" x14ac:dyDescent="0.25">
      <c r="H217" s="357" t="s">
        <v>354</v>
      </c>
      <c r="I217" s="357"/>
      <c r="J217" s="357"/>
      <c r="K217" s="357">
        <v>7</v>
      </c>
      <c r="L217" s="359">
        <f t="shared" si="11"/>
        <v>5.7280531484776018E-7</v>
      </c>
      <c r="M217" s="357"/>
      <c r="N217" s="357"/>
    </row>
    <row r="218" spans="8:14" x14ac:dyDescent="0.25">
      <c r="H218" s="357" t="s">
        <v>355</v>
      </c>
      <c r="I218" s="357"/>
      <c r="J218" s="357"/>
      <c r="K218" s="357">
        <v>344</v>
      </c>
      <c r="L218" s="359">
        <f t="shared" si="11"/>
        <v>2.8149289758232786E-5</v>
      </c>
      <c r="M218" s="357"/>
      <c r="N218" s="357"/>
    </row>
    <row r="219" spans="8:14" x14ac:dyDescent="0.25">
      <c r="H219" s="357" t="s">
        <v>356</v>
      </c>
      <c r="I219" s="357"/>
      <c r="J219" s="357"/>
      <c r="K219" s="357">
        <v>13656</v>
      </c>
      <c r="L219" s="359">
        <f t="shared" si="11"/>
        <v>1.1174613399372877E-3</v>
      </c>
      <c r="M219" s="357"/>
      <c r="N219" s="357"/>
    </row>
    <row r="220" spans="8:14" x14ac:dyDescent="0.25">
      <c r="H220" s="357" t="s">
        <v>357</v>
      </c>
      <c r="I220" s="357"/>
      <c r="J220" s="357"/>
      <c r="K220" s="357">
        <v>4</v>
      </c>
      <c r="L220" s="359">
        <f t="shared" si="11"/>
        <v>3.2731732277014869E-7</v>
      </c>
      <c r="M220" s="357"/>
      <c r="N220" s="357"/>
    </row>
    <row r="221" spans="8:14" x14ac:dyDescent="0.25">
      <c r="H221" s="357" t="s">
        <v>358</v>
      </c>
      <c r="I221" s="357"/>
      <c r="J221" s="357"/>
      <c r="K221" s="357">
        <v>2371889</v>
      </c>
      <c r="L221" s="359">
        <f t="shared" si="11"/>
        <v>0.19409008934699129</v>
      </c>
      <c r="M221" s="357"/>
      <c r="N221" s="361"/>
    </row>
    <row r="222" spans="8:14" x14ac:dyDescent="0.25">
      <c r="H222" s="357" t="s">
        <v>359</v>
      </c>
      <c r="I222" s="357"/>
      <c r="J222" s="357"/>
      <c r="K222" s="357">
        <v>0</v>
      </c>
      <c r="L222" s="359">
        <f t="shared" si="11"/>
        <v>0</v>
      </c>
      <c r="M222" s="357"/>
      <c r="N222" s="357"/>
    </row>
    <row r="223" spans="8:14" x14ac:dyDescent="0.25">
      <c r="H223" s="357" t="s">
        <v>360</v>
      </c>
      <c r="I223" s="357"/>
      <c r="J223" s="357"/>
      <c r="K223" s="357">
        <v>71772</v>
      </c>
      <c r="L223" s="359">
        <f t="shared" si="11"/>
        <v>5.8730547224647781E-3</v>
      </c>
      <c r="M223" s="357"/>
      <c r="N223" s="357"/>
    </row>
    <row r="224" spans="8:14" x14ac:dyDescent="0.25">
      <c r="H224" s="357" t="s">
        <v>361</v>
      </c>
      <c r="I224" s="357"/>
      <c r="J224" s="357"/>
      <c r="K224" s="357">
        <v>10113</v>
      </c>
      <c r="L224" s="359">
        <f t="shared" si="11"/>
        <v>8.2754002129362841E-4</v>
      </c>
      <c r="M224" s="357"/>
      <c r="N224" s="357"/>
    </row>
    <row r="225" spans="8:14" x14ac:dyDescent="0.25">
      <c r="H225" s="357" t="s">
        <v>362</v>
      </c>
      <c r="I225" s="357"/>
      <c r="J225" s="357"/>
      <c r="K225" s="357">
        <v>0</v>
      </c>
      <c r="L225" s="359">
        <f t="shared" si="11"/>
        <v>0</v>
      </c>
      <c r="M225" s="357"/>
      <c r="N225" s="357"/>
    </row>
    <row r="226" spans="8:14" x14ac:dyDescent="0.25">
      <c r="H226" s="357" t="s">
        <v>363</v>
      </c>
      <c r="I226" s="357"/>
      <c r="J226" s="357"/>
      <c r="K226" s="357">
        <v>30589</v>
      </c>
      <c r="L226" s="359">
        <f t="shared" si="11"/>
        <v>2.5030773965540195E-3</v>
      </c>
      <c r="M226" s="357"/>
      <c r="N226" s="357"/>
    </row>
    <row r="227" spans="8:14" x14ac:dyDescent="0.25">
      <c r="H227" s="357" t="s">
        <v>364</v>
      </c>
      <c r="I227" s="357"/>
      <c r="J227" s="357"/>
      <c r="K227" s="357">
        <v>1483</v>
      </c>
      <c r="L227" s="359">
        <f t="shared" si="11"/>
        <v>1.2135289741703263E-4</v>
      </c>
      <c r="M227" s="362">
        <f>SUM(K215:K227)</f>
        <v>2681173</v>
      </c>
      <c r="N227" s="361">
        <f>SUM(L215:L227)</f>
        <v>0.21939859206090195</v>
      </c>
    </row>
    <row r="228" spans="8:14" x14ac:dyDescent="0.25">
      <c r="L228" s="354"/>
      <c r="M228" s="185"/>
      <c r="N228" s="355"/>
    </row>
    <row r="229" spans="8:14" x14ac:dyDescent="0.25">
      <c r="H229" t="s">
        <v>365</v>
      </c>
      <c r="K229">
        <v>14699</v>
      </c>
      <c r="L229" s="354">
        <f>K229/$K$277</f>
        <v>1.202809331849604E-3</v>
      </c>
    </row>
    <row r="230" spans="8:14" x14ac:dyDescent="0.25">
      <c r="H230" t="s">
        <v>366</v>
      </c>
      <c r="K230">
        <v>2630</v>
      </c>
      <c r="L230" s="354">
        <f>K230/$K$277</f>
        <v>2.1521113972137277E-4</v>
      </c>
    </row>
    <row r="231" spans="8:14" x14ac:dyDescent="0.25">
      <c r="L231" s="354"/>
    </row>
    <row r="232" spans="8:14" x14ac:dyDescent="0.25">
      <c r="L232" s="354"/>
    </row>
    <row r="233" spans="8:14" x14ac:dyDescent="0.25">
      <c r="H233" t="s">
        <v>367</v>
      </c>
      <c r="K233">
        <v>19872</v>
      </c>
      <c r="L233" s="354">
        <f t="shared" ref="L233:L254" si="12">K233/$K$277</f>
        <v>1.6261124595220986E-3</v>
      </c>
    </row>
    <row r="234" spans="8:14" x14ac:dyDescent="0.25">
      <c r="H234" t="s">
        <v>368</v>
      </c>
      <c r="K234">
        <v>18192</v>
      </c>
      <c r="L234" s="354">
        <f t="shared" si="12"/>
        <v>1.4886391839586362E-3</v>
      </c>
    </row>
    <row r="235" spans="8:14" x14ac:dyDescent="0.25">
      <c r="H235" t="s">
        <v>369</v>
      </c>
      <c r="K235">
        <v>128</v>
      </c>
      <c r="L235" s="354">
        <f t="shared" si="12"/>
        <v>1.0474154328644758E-5</v>
      </c>
    </row>
    <row r="236" spans="8:14" x14ac:dyDescent="0.25">
      <c r="H236" t="s">
        <v>370</v>
      </c>
      <c r="K236">
        <v>13</v>
      </c>
      <c r="L236" s="354">
        <f t="shared" si="12"/>
        <v>1.0637812990029832E-6</v>
      </c>
    </row>
    <row r="237" spans="8:14" x14ac:dyDescent="0.25">
      <c r="H237" t="s">
        <v>371</v>
      </c>
      <c r="K237">
        <v>24385</v>
      </c>
      <c r="L237" s="354">
        <f t="shared" si="12"/>
        <v>1.9954082289375188E-3</v>
      </c>
    </row>
    <row r="238" spans="8:14" x14ac:dyDescent="0.25">
      <c r="H238" t="s">
        <v>372</v>
      </c>
      <c r="K238">
        <v>64132</v>
      </c>
      <c r="L238" s="354">
        <f t="shared" si="12"/>
        <v>5.2478786359737937E-3</v>
      </c>
    </row>
    <row r="239" spans="8:14" x14ac:dyDescent="0.25">
      <c r="H239" t="s">
        <v>373</v>
      </c>
      <c r="K239">
        <v>32761</v>
      </c>
      <c r="L239" s="354">
        <f t="shared" si="12"/>
        <v>2.6808107028182104E-3</v>
      </c>
    </row>
    <row r="240" spans="8:14" x14ac:dyDescent="0.25">
      <c r="H240" t="s">
        <v>374</v>
      </c>
      <c r="K240">
        <v>45269</v>
      </c>
      <c r="L240" s="354">
        <f t="shared" si="12"/>
        <v>3.7043319711204652E-3</v>
      </c>
    </row>
    <row r="241" spans="1:15" x14ac:dyDescent="0.25">
      <c r="H241" t="s">
        <v>375</v>
      </c>
      <c r="K241">
        <v>68622</v>
      </c>
      <c r="L241" s="354">
        <f t="shared" si="12"/>
        <v>5.6152923307832862E-3</v>
      </c>
    </row>
    <row r="242" spans="1:15" x14ac:dyDescent="0.25">
      <c r="H242" t="s">
        <v>376</v>
      </c>
      <c r="K242">
        <v>27156</v>
      </c>
      <c r="L242" s="354">
        <f t="shared" si="12"/>
        <v>2.2221573042865393E-3</v>
      </c>
    </row>
    <row r="243" spans="1:15" x14ac:dyDescent="0.25">
      <c r="H243" t="s">
        <v>377</v>
      </c>
      <c r="K243">
        <v>6701</v>
      </c>
      <c r="L243" s="354">
        <f t="shared" si="12"/>
        <v>5.4833834497069155E-4</v>
      </c>
    </row>
    <row r="244" spans="1:15" x14ac:dyDescent="0.25">
      <c r="H244" t="s">
        <v>378</v>
      </c>
      <c r="K244">
        <v>3</v>
      </c>
      <c r="L244" s="354">
        <f t="shared" si="12"/>
        <v>2.4548799207761154E-7</v>
      </c>
    </row>
    <row r="245" spans="1:15" x14ac:dyDescent="0.25">
      <c r="H245" t="s">
        <v>379</v>
      </c>
      <c r="K245">
        <v>2503</v>
      </c>
      <c r="L245" s="354">
        <f t="shared" si="12"/>
        <v>2.0481881472342054E-4</v>
      </c>
    </row>
    <row r="246" spans="1:15" x14ac:dyDescent="0.25">
      <c r="H246" t="s">
        <v>380</v>
      </c>
      <c r="K246">
        <v>25969</v>
      </c>
      <c r="L246" s="354">
        <f t="shared" si="12"/>
        <v>2.125025888754498E-3</v>
      </c>
    </row>
    <row r="247" spans="1:15" x14ac:dyDescent="0.25">
      <c r="H247" t="s">
        <v>381</v>
      </c>
      <c r="K247">
        <v>20423</v>
      </c>
      <c r="L247" s="354">
        <f t="shared" si="12"/>
        <v>1.6712004207336867E-3</v>
      </c>
    </row>
    <row r="248" spans="1:15" x14ac:dyDescent="0.25">
      <c r="H248" t="s">
        <v>382</v>
      </c>
      <c r="K248">
        <v>31</v>
      </c>
      <c r="L248" s="354">
        <f t="shared" si="12"/>
        <v>2.5367092514686523E-6</v>
      </c>
    </row>
    <row r="249" spans="1:15" x14ac:dyDescent="0.25">
      <c r="H249" t="s">
        <v>383</v>
      </c>
      <c r="K249">
        <v>2374</v>
      </c>
      <c r="L249" s="354">
        <f t="shared" si="12"/>
        <v>1.9426283106408325E-4</v>
      </c>
    </row>
    <row r="250" spans="1:15" x14ac:dyDescent="0.25">
      <c r="H250" t="s">
        <v>384</v>
      </c>
      <c r="K250">
        <v>105891</v>
      </c>
      <c r="L250" s="354">
        <f t="shared" si="12"/>
        <v>8.6649896563634546E-3</v>
      </c>
    </row>
    <row r="251" spans="1:15" x14ac:dyDescent="0.25">
      <c r="H251" t="s">
        <v>385</v>
      </c>
      <c r="K251">
        <v>17613</v>
      </c>
      <c r="L251" s="354">
        <f t="shared" si="12"/>
        <v>1.4412600014876572E-3</v>
      </c>
    </row>
    <row r="252" spans="1:15" x14ac:dyDescent="0.25">
      <c r="H252" t="s">
        <v>386</v>
      </c>
      <c r="K252">
        <v>1276</v>
      </c>
      <c r="L252" s="354">
        <f t="shared" si="12"/>
        <v>1.0441422596367744E-4</v>
      </c>
    </row>
    <row r="253" spans="1:15" x14ac:dyDescent="0.25">
      <c r="H253" t="s">
        <v>387</v>
      </c>
      <c r="K253">
        <v>27823</v>
      </c>
      <c r="L253" s="354">
        <f t="shared" si="12"/>
        <v>2.2767374678584616E-3</v>
      </c>
    </row>
    <row r="254" spans="1:15" x14ac:dyDescent="0.25">
      <c r="H254" t="s">
        <v>388</v>
      </c>
      <c r="K254">
        <v>1137</v>
      </c>
      <c r="L254" s="354">
        <f t="shared" si="12"/>
        <v>9.3039948997414765E-5</v>
      </c>
    </row>
    <row r="255" spans="1:15" x14ac:dyDescent="0.25">
      <c r="L255" s="354"/>
    </row>
    <row r="256" spans="1:15" x14ac:dyDescent="0.25">
      <c r="A256" s="73" t="s">
        <v>389</v>
      </c>
      <c r="D256" t="s">
        <v>172</v>
      </c>
      <c r="E256" t="s">
        <v>169</v>
      </c>
      <c r="H256" s="357" t="s">
        <v>390</v>
      </c>
      <c r="I256" s="357"/>
      <c r="J256" s="357"/>
      <c r="K256" s="357">
        <v>93335</v>
      </c>
      <c r="L256" s="359">
        <f>K256/$K$277</f>
        <v>7.6375405801879567E-3</v>
      </c>
      <c r="M256" s="357"/>
      <c r="N256" s="357"/>
      <c r="O256" t="s">
        <v>138</v>
      </c>
    </row>
    <row r="257" spans="1:14" ht="14.45" customHeight="1" x14ac:dyDescent="0.25">
      <c r="A257" s="437" t="s">
        <v>358</v>
      </c>
      <c r="B257" s="437"/>
      <c r="C257" s="437"/>
      <c r="D257" s="438">
        <v>2371889</v>
      </c>
      <c r="E257" s="439">
        <v>0.19409999999999999</v>
      </c>
      <c r="H257" s="357" t="s">
        <v>391</v>
      </c>
      <c r="I257" s="357"/>
      <c r="J257" s="357"/>
      <c r="K257" s="357">
        <v>4101</v>
      </c>
      <c r="L257" s="359">
        <f>K257/$K$277</f>
        <v>3.3558208517009495E-4</v>
      </c>
      <c r="M257" s="357"/>
      <c r="N257" s="357"/>
    </row>
    <row r="258" spans="1:14" ht="14.45" customHeight="1" x14ac:dyDescent="0.25">
      <c r="A258" s="437" t="s">
        <v>350</v>
      </c>
      <c r="B258" s="437"/>
      <c r="C258" s="437"/>
      <c r="D258" s="438">
        <v>2282310</v>
      </c>
      <c r="E258" s="439">
        <v>0.18679999999999999</v>
      </c>
      <c r="H258" s="357" t="s">
        <v>392</v>
      </c>
      <c r="I258" s="357"/>
      <c r="J258" s="357"/>
      <c r="K258" s="357">
        <v>234509</v>
      </c>
      <c r="L258" s="359">
        <f>K258/$K$277</f>
        <v>1.9189714511376198E-2</v>
      </c>
      <c r="M258" s="357"/>
      <c r="N258" s="357"/>
    </row>
    <row r="259" spans="1:14" ht="14.45" customHeight="1" x14ac:dyDescent="0.25">
      <c r="A259" s="440" t="s">
        <v>254</v>
      </c>
      <c r="B259" s="441"/>
      <c r="C259" s="442"/>
      <c r="D259" s="438">
        <v>927319</v>
      </c>
      <c r="E259" s="354">
        <v>7.5899999999999995E-2</v>
      </c>
      <c r="H259" s="357" t="s">
        <v>393</v>
      </c>
      <c r="I259" s="357"/>
      <c r="J259" s="357"/>
      <c r="K259" s="357">
        <v>15798</v>
      </c>
      <c r="L259" s="359">
        <f>K259/$K$277</f>
        <v>1.2927397662807023E-3</v>
      </c>
      <c r="M259" s="357"/>
      <c r="N259" s="357"/>
    </row>
    <row r="260" spans="1:14" ht="30" x14ac:dyDescent="0.25">
      <c r="A260" s="437" t="s">
        <v>394</v>
      </c>
      <c r="B260" s="437"/>
      <c r="C260" s="437"/>
      <c r="D260" s="438">
        <v>787984</v>
      </c>
      <c r="E260" s="439">
        <v>6.4500000000000002E-2</v>
      </c>
      <c r="H260" s="357" t="s">
        <v>395</v>
      </c>
      <c r="I260" s="357"/>
      <c r="J260" s="357"/>
      <c r="K260" s="357">
        <v>45231</v>
      </c>
      <c r="L260" s="359">
        <f>K260/$K$277</f>
        <v>3.7012224565541488E-3</v>
      </c>
      <c r="M260" s="363">
        <f>SUM(K256:K260)</f>
        <v>392974</v>
      </c>
      <c r="N260" s="361">
        <f>SUM(L256:L260)</f>
        <v>3.21567993995691E-2</v>
      </c>
    </row>
    <row r="261" spans="1:14" ht="14.45" customHeight="1" x14ac:dyDescent="0.25">
      <c r="A261" s="437" t="s">
        <v>315</v>
      </c>
      <c r="B261" s="437"/>
      <c r="C261" s="437"/>
      <c r="D261" s="438">
        <v>707599</v>
      </c>
      <c r="E261" s="439">
        <v>5.79E-2</v>
      </c>
      <c r="L261" s="354"/>
    </row>
    <row r="262" spans="1:14" ht="14.45" customHeight="1" x14ac:dyDescent="0.25">
      <c r="A262" s="440" t="s">
        <v>270</v>
      </c>
      <c r="B262" s="440"/>
      <c r="C262" s="440"/>
      <c r="D262" s="441">
        <v>308189</v>
      </c>
      <c r="E262" s="442">
        <v>2.52E-2</v>
      </c>
      <c r="H262" t="s">
        <v>396</v>
      </c>
      <c r="K262">
        <v>52775</v>
      </c>
      <c r="L262" s="354">
        <f t="shared" ref="L262:L268" si="13">K262/$K$277</f>
        <v>4.3185429272986492E-3</v>
      </c>
    </row>
    <row r="263" spans="1:14" ht="14.45" customHeight="1" x14ac:dyDescent="0.25">
      <c r="A263" s="437" t="s">
        <v>317</v>
      </c>
      <c r="B263" s="437"/>
      <c r="C263" s="437"/>
      <c r="D263" s="438">
        <v>290943</v>
      </c>
      <c r="E263" s="439">
        <v>2.3800000000000002E-2</v>
      </c>
      <c r="H263" t="s">
        <v>397</v>
      </c>
      <c r="K263">
        <v>476</v>
      </c>
      <c r="L263" s="354">
        <f t="shared" si="13"/>
        <v>3.8950761409647691E-5</v>
      </c>
    </row>
    <row r="264" spans="1:14" ht="14.45" customHeight="1" x14ac:dyDescent="0.25">
      <c r="A264" s="437" t="s">
        <v>257</v>
      </c>
      <c r="B264" s="437"/>
      <c r="C264" s="437"/>
      <c r="D264" s="438">
        <v>285565</v>
      </c>
      <c r="E264" s="439">
        <v>2.3400000000000001E-2</v>
      </c>
      <c r="H264" t="s">
        <v>398</v>
      </c>
      <c r="K264">
        <v>191528</v>
      </c>
      <c r="L264" s="354">
        <f t="shared" si="13"/>
        <v>1.5672608048880259E-2</v>
      </c>
    </row>
    <row r="265" spans="1:14" x14ac:dyDescent="0.25">
      <c r="A265" s="437" t="s">
        <v>392</v>
      </c>
      <c r="B265" s="437"/>
      <c r="C265" s="437"/>
      <c r="D265" s="438">
        <v>234509</v>
      </c>
      <c r="E265" s="439">
        <v>1.9199999999999998E-2</v>
      </c>
      <c r="H265" t="s">
        <v>399</v>
      </c>
      <c r="K265">
        <v>21439</v>
      </c>
      <c r="L265" s="354">
        <f t="shared" si="13"/>
        <v>1.7543390207173045E-3</v>
      </c>
    </row>
    <row r="266" spans="1:14" ht="14.45" customHeight="1" x14ac:dyDescent="0.25">
      <c r="A266" s="437" t="s">
        <v>316</v>
      </c>
      <c r="B266" s="437"/>
      <c r="C266" s="437"/>
      <c r="D266" s="438">
        <v>215286</v>
      </c>
      <c r="E266" s="439">
        <v>1.7600000000000001E-2</v>
      </c>
      <c r="H266" t="s">
        <v>400</v>
      </c>
      <c r="K266">
        <v>277752</v>
      </c>
      <c r="L266" s="354">
        <f t="shared" si="13"/>
        <v>2.2728260258513586E-2</v>
      </c>
    </row>
    <row r="267" spans="1:14" x14ac:dyDescent="0.25">
      <c r="D267" s="185">
        <f>SUM(D257:D266)</f>
        <v>8411593</v>
      </c>
      <c r="E267" s="355">
        <f>SUM(E257:E266)</f>
        <v>0.6883999999999999</v>
      </c>
      <c r="H267" t="s">
        <v>401</v>
      </c>
      <c r="K267">
        <v>54080</v>
      </c>
      <c r="L267" s="354">
        <f t="shared" si="13"/>
        <v>4.4253302038524105E-3</v>
      </c>
    </row>
    <row r="268" spans="1:14" x14ac:dyDescent="0.25">
      <c r="H268" t="s">
        <v>402</v>
      </c>
      <c r="K268">
        <v>21271</v>
      </c>
      <c r="L268" s="354">
        <f t="shared" si="13"/>
        <v>1.7405916931609582E-3</v>
      </c>
    </row>
    <row r="269" spans="1:14" x14ac:dyDescent="0.25">
      <c r="L269" s="354"/>
    </row>
    <row r="270" spans="1:14" x14ac:dyDescent="0.25">
      <c r="H270" s="357" t="s">
        <v>394</v>
      </c>
      <c r="I270" s="357"/>
      <c r="J270" s="357"/>
      <c r="K270" s="357">
        <v>787984</v>
      </c>
      <c r="L270" s="359">
        <f>K270/$K$277</f>
        <v>6.4480203316428217E-2</v>
      </c>
      <c r="M270" s="357"/>
      <c r="N270" s="357"/>
    </row>
    <row r="271" spans="1:14" x14ac:dyDescent="0.25">
      <c r="H271" s="357" t="s">
        <v>403</v>
      </c>
      <c r="I271" s="357"/>
      <c r="J271" s="357"/>
      <c r="K271" s="357">
        <v>997</v>
      </c>
      <c r="L271" s="359">
        <f>K271/$K$277</f>
        <v>8.1583842700459565E-5</v>
      </c>
      <c r="M271" s="357"/>
      <c r="N271" s="357"/>
    </row>
    <row r="272" spans="1:14" x14ac:dyDescent="0.25">
      <c r="H272" s="357" t="s">
        <v>404</v>
      </c>
      <c r="I272" s="357"/>
      <c r="J272" s="357"/>
      <c r="K272" s="357">
        <v>82220</v>
      </c>
      <c r="L272" s="359">
        <f>K272/$K$277</f>
        <v>6.7280075695404064E-3</v>
      </c>
      <c r="M272" s="357"/>
      <c r="N272" s="357"/>
    </row>
    <row r="273" spans="8:15" x14ac:dyDescent="0.25">
      <c r="H273" s="357" t="s">
        <v>405</v>
      </c>
      <c r="I273" s="357"/>
      <c r="J273" s="357"/>
      <c r="K273" s="357">
        <v>275</v>
      </c>
      <c r="L273" s="359">
        <f>K273/$K$277</f>
        <v>2.2503065940447724E-5</v>
      </c>
      <c r="M273" s="362">
        <f>SUM(K270:K273)</f>
        <v>871476</v>
      </c>
      <c r="N273" s="361">
        <f>SUM(L270:L273)</f>
        <v>7.1312297794609542E-2</v>
      </c>
    </row>
    <row r="274" spans="8:15" x14ac:dyDescent="0.25">
      <c r="L274" s="354"/>
    </row>
    <row r="275" spans="8:15" x14ac:dyDescent="0.25">
      <c r="H275" t="s">
        <v>406</v>
      </c>
      <c r="K275">
        <v>617</v>
      </c>
      <c r="L275" s="354">
        <f>K275/$K$277</f>
        <v>5.0488697037295438E-5</v>
      </c>
      <c r="O275" t="s">
        <v>138</v>
      </c>
    </row>
    <row r="276" spans="8:15" x14ac:dyDescent="0.25">
      <c r="H276" t="s">
        <v>407</v>
      </c>
      <c r="K276">
        <v>108</v>
      </c>
      <c r="L276" s="354">
        <f>K276/$K$277</f>
        <v>8.8375677147940141E-6</v>
      </c>
      <c r="O276" t="s">
        <v>138</v>
      </c>
    </row>
    <row r="277" spans="8:15" x14ac:dyDescent="0.25">
      <c r="K277" s="73">
        <f>SUM(K27:K276)</f>
        <v>12220557</v>
      </c>
      <c r="N277" s="355">
        <f>SUM(N27:N276)</f>
        <v>0.81179409416444759</v>
      </c>
    </row>
    <row r="278" spans="8:15" x14ac:dyDescent="0.25">
      <c r="H278" s="73" t="s">
        <v>408</v>
      </c>
      <c r="K278" s="185"/>
      <c r="L278" s="354"/>
      <c r="N278" s="355">
        <f>L276+L275+N260+N183+N175+N107</f>
        <v>0.15958560644985328</v>
      </c>
    </row>
    <row r="279" spans="8:15" x14ac:dyDescent="0.25">
      <c r="H279" t="s">
        <v>409</v>
      </c>
      <c r="K279" s="152"/>
    </row>
    <row r="280" spans="8:15" x14ac:dyDescent="0.25">
      <c r="K280" s="354"/>
    </row>
    <row r="281" spans="8:15" x14ac:dyDescent="0.25">
      <c r="H281" t="s">
        <v>410</v>
      </c>
      <c r="K281" s="262">
        <v>0.1</v>
      </c>
      <c r="L281" t="s">
        <v>411</v>
      </c>
    </row>
    <row r="282" spans="8:15" x14ac:dyDescent="0.25">
      <c r="K282" s="474"/>
    </row>
  </sheetData>
  <sortState xmlns:xlrd2="http://schemas.microsoft.com/office/spreadsheetml/2017/richdata2" ref="A257:E266">
    <sortCondition descending="1" ref="E257:E266"/>
  </sortState>
  <pageMargins left="0.7" right="0.7" top="0.75" bottom="0.75" header="0.3" footer="0.3"/>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79BA1-2D2E-4A1D-987C-D10A096A796A}">
  <sheetPr>
    <tabColor theme="8" tint="0.59999389629810485"/>
  </sheetPr>
  <dimension ref="B1:AC93"/>
  <sheetViews>
    <sheetView showGridLines="0" topLeftCell="A2" zoomScale="80" zoomScaleNormal="80" workbookViewId="0">
      <selection activeCell="E11" sqref="E11"/>
    </sheetView>
  </sheetViews>
  <sheetFormatPr defaultRowHeight="15" x14ac:dyDescent="0.25"/>
  <cols>
    <col min="1" max="1" width="2.42578125" customWidth="1"/>
    <col min="2" max="2" width="5.5703125" customWidth="1"/>
    <col min="3" max="3" width="50.85546875" customWidth="1"/>
    <col min="4" max="4" width="32.42578125" customWidth="1"/>
    <col min="5" max="5" width="28" customWidth="1"/>
    <col min="6" max="18" width="13.42578125" customWidth="1"/>
    <col min="19" max="19" width="3.42578125" customWidth="1"/>
    <col min="24" max="24" width="20.85546875" customWidth="1"/>
  </cols>
  <sheetData>
    <row r="1" spans="2:24" ht="30" customHeight="1" x14ac:dyDescent="0.25">
      <c r="B1" s="265" t="s">
        <v>1</v>
      </c>
    </row>
    <row r="2" spans="2:24" ht="30" customHeight="1" x14ac:dyDescent="0.25">
      <c r="B2" s="77" t="s">
        <v>412</v>
      </c>
      <c r="C2" s="77"/>
      <c r="D2" s="76"/>
      <c r="E2" s="88"/>
      <c r="F2" s="76"/>
      <c r="G2" s="76"/>
      <c r="H2" s="76"/>
      <c r="I2" s="76"/>
      <c r="J2" s="76"/>
      <c r="K2" s="76"/>
      <c r="L2" s="76"/>
      <c r="M2" s="76"/>
      <c r="N2" s="76"/>
      <c r="O2" s="76"/>
      <c r="P2" s="76"/>
      <c r="Q2" s="76"/>
      <c r="R2" s="76"/>
      <c r="S2" s="76"/>
      <c r="T2" s="76"/>
      <c r="U2" s="76"/>
      <c r="V2" s="76"/>
      <c r="W2" s="76"/>
      <c r="X2" s="76"/>
    </row>
    <row r="4" spans="2:24" x14ac:dyDescent="0.25">
      <c r="B4" s="606" t="s">
        <v>413</v>
      </c>
      <c r="C4" s="483"/>
      <c r="D4" s="483"/>
      <c r="E4" s="483"/>
      <c r="F4" s="483"/>
      <c r="G4" s="483"/>
      <c r="H4" s="483"/>
      <c r="I4" s="483"/>
      <c r="J4" s="483"/>
      <c r="K4" s="483"/>
      <c r="L4" s="483"/>
      <c r="M4" s="483"/>
      <c r="N4" s="483"/>
      <c r="O4" s="483"/>
      <c r="P4" s="483"/>
      <c r="Q4" s="483"/>
      <c r="R4" s="483"/>
      <c r="S4" s="484"/>
    </row>
    <row r="5" spans="2:24" x14ac:dyDescent="0.25">
      <c r="B5" s="80"/>
      <c r="C5" t="s">
        <v>880</v>
      </c>
      <c r="S5" s="79"/>
    </row>
    <row r="6" spans="2:24" x14ac:dyDescent="0.25">
      <c r="B6" s="80"/>
      <c r="C6" t="s">
        <v>414</v>
      </c>
      <c r="S6" s="79"/>
    </row>
    <row r="7" spans="2:24" x14ac:dyDescent="0.25">
      <c r="B7" s="80"/>
      <c r="C7" t="s">
        <v>415</v>
      </c>
      <c r="S7" s="79"/>
    </row>
    <row r="8" spans="2:24" x14ac:dyDescent="0.25">
      <c r="B8" s="81"/>
      <c r="C8" s="82" t="s">
        <v>416</v>
      </c>
      <c r="D8" s="82"/>
      <c r="E8" s="82"/>
      <c r="F8" s="82"/>
      <c r="G8" s="82"/>
      <c r="H8" s="82"/>
      <c r="I8" s="82"/>
      <c r="J8" s="82"/>
      <c r="K8" s="82"/>
      <c r="L8" s="82"/>
      <c r="M8" s="82"/>
      <c r="N8" s="82"/>
      <c r="O8" s="82"/>
      <c r="P8" s="82"/>
      <c r="Q8" s="82"/>
      <c r="R8" s="82"/>
      <c r="S8" s="79"/>
    </row>
    <row r="9" spans="2:24" x14ac:dyDescent="0.25">
      <c r="S9" s="106"/>
    </row>
    <row r="10" spans="2:24" x14ac:dyDescent="0.25">
      <c r="B10" s="606" t="s">
        <v>417</v>
      </c>
      <c r="C10" s="483"/>
      <c r="D10" s="483"/>
      <c r="E10" s="483"/>
      <c r="F10" s="483"/>
      <c r="G10" s="483"/>
      <c r="H10" s="483"/>
      <c r="I10" s="483"/>
      <c r="J10" s="483"/>
      <c r="K10" s="483"/>
      <c r="L10" s="483"/>
      <c r="M10" s="483"/>
      <c r="N10" s="483"/>
      <c r="O10" s="483"/>
      <c r="P10" s="483"/>
      <c r="Q10" s="483"/>
      <c r="R10" s="483"/>
      <c r="S10" s="79"/>
    </row>
    <row r="11" spans="2:24" x14ac:dyDescent="0.25">
      <c r="B11" s="78"/>
      <c r="C11" t="s">
        <v>418</v>
      </c>
      <c r="E11" s="607" t="s">
        <v>50</v>
      </c>
      <c r="S11" s="79"/>
    </row>
    <row r="12" spans="2:24" x14ac:dyDescent="0.25">
      <c r="B12" s="78"/>
      <c r="C12" t="s">
        <v>60</v>
      </c>
      <c r="E12" s="607" t="s">
        <v>993</v>
      </c>
      <c r="G12" s="615">
        <f>'Population selection'!J14</f>
        <v>5242832</v>
      </c>
      <c r="H12" t="str">
        <f>C27&amp;" population based on selection on left using mid-2022 ONS data"</f>
        <v>Population aged 5 and over population based on selection on left using mid-2022 ONS data</v>
      </c>
      <c r="S12" s="79"/>
    </row>
    <row r="13" spans="2:24" x14ac:dyDescent="0.25">
      <c r="B13" s="78"/>
      <c r="E13" s="303"/>
      <c r="G13" s="609">
        <f>2.05533586601874%</f>
        <v>2.0553358660187402E-2</v>
      </c>
      <c r="H13" t="s">
        <v>419</v>
      </c>
      <c r="S13" s="79"/>
    </row>
    <row r="14" spans="2:24" x14ac:dyDescent="0.25">
      <c r="B14" s="78"/>
      <c r="C14" s="73"/>
      <c r="G14" s="608">
        <f>(100%+G13)*G12</f>
        <v>5350589.8064911077</v>
      </c>
      <c r="H14" t="s">
        <v>420</v>
      </c>
      <c r="S14" s="79"/>
    </row>
    <row r="15" spans="2:24" x14ac:dyDescent="0.25">
      <c r="B15" s="80"/>
      <c r="C15" t="s">
        <v>882</v>
      </c>
      <c r="E15" s="306" t="s">
        <v>48</v>
      </c>
      <c r="F15" s="87" t="str">
        <f>IF(E15="yes","","If no, enter current locality population below")</f>
        <v/>
      </c>
      <c r="H15" s="181" t="str">
        <f>IF(ISERROR(G14),"Error. Please select an appropriate organisation for the organisation type","")</f>
        <v/>
      </c>
      <c r="S15" s="79"/>
    </row>
    <row r="16" spans="2:24" x14ac:dyDescent="0.25">
      <c r="B16" s="80"/>
      <c r="F16" s="87" t="str">
        <f>IF(AND(NOT(ISBLANK(E17)),E15="yes"),"error - change cell above to 'no'","")</f>
        <v/>
      </c>
      <c r="S16" s="79"/>
    </row>
    <row r="17" spans="2:29" x14ac:dyDescent="0.25">
      <c r="B17" s="80"/>
      <c r="C17" t="str">
        <f>"Manually entered current locality population "&amp;IF(E15="no","","(n/a)")</f>
        <v>Manually entered current locality population (n/a)</v>
      </c>
      <c r="D17" s="823" t="s">
        <v>885</v>
      </c>
      <c r="E17" s="610"/>
      <c r="F17" s="87" t="str">
        <f>IF(E15="yes","Leave blue cell on left blank if template estimate is used","")</f>
        <v>Leave blue cell on left blank if template estimate is used</v>
      </c>
      <c r="S17" s="79"/>
    </row>
    <row r="18" spans="2:29" x14ac:dyDescent="0.25">
      <c r="B18" s="80"/>
      <c r="D18" t="s">
        <v>726</v>
      </c>
      <c r="E18" s="610"/>
      <c r="F18" s="87"/>
      <c r="S18" s="79"/>
    </row>
    <row r="19" spans="2:29" x14ac:dyDescent="0.25">
      <c r="B19" s="80"/>
      <c r="D19" t="s">
        <v>422</v>
      </c>
      <c r="E19" s="610"/>
      <c r="F19" s="87"/>
      <c r="S19" s="79"/>
    </row>
    <row r="20" spans="2:29" x14ac:dyDescent="0.25">
      <c r="B20" s="80"/>
      <c r="F20" s="87" t="str">
        <f>IF(AND(ISBLANK(E17),E15="no"),"error - enter current locality population above","")</f>
        <v/>
      </c>
      <c r="S20" s="79"/>
    </row>
    <row r="21" spans="2:29" x14ac:dyDescent="0.25">
      <c r="B21" s="80"/>
      <c r="C21" t="s">
        <v>423</v>
      </c>
      <c r="D21" s="74"/>
      <c r="E21" s="609">
        <v>8.0000000000000002E-3</v>
      </c>
      <c r="F21" t="str">
        <f>IF(E21=0.00964180746392884,"Enter local value or delete the assumption if required","Local value")</f>
        <v>Local value</v>
      </c>
      <c r="L21" s="786"/>
      <c r="S21" s="79"/>
    </row>
    <row r="22" spans="2:29" x14ac:dyDescent="0.25">
      <c r="B22" s="80"/>
      <c r="C22" t="s">
        <v>424</v>
      </c>
      <c r="D22" s="74"/>
      <c r="E22" s="609">
        <v>0</v>
      </c>
      <c r="F22" t="str">
        <f>IF(E22=0,"Enter local value or delete the assumption if required","Local value")</f>
        <v>Enter local value or delete the assumption if required</v>
      </c>
      <c r="L22" s="786"/>
      <c r="S22" s="79"/>
    </row>
    <row r="23" spans="2:29" x14ac:dyDescent="0.25">
      <c r="B23" s="81"/>
      <c r="C23" s="82"/>
      <c r="D23" s="82"/>
      <c r="E23" s="82"/>
      <c r="F23" s="82"/>
      <c r="G23" s="82"/>
      <c r="H23" s="82"/>
      <c r="I23" s="82"/>
      <c r="J23" s="82"/>
      <c r="K23" s="82"/>
      <c r="L23" s="787"/>
      <c r="M23" s="82"/>
      <c r="N23" s="82"/>
      <c r="O23" s="82"/>
      <c r="P23" s="82"/>
      <c r="Q23" s="82"/>
      <c r="R23" s="82"/>
      <c r="S23" s="83"/>
    </row>
    <row r="25" spans="2:29" x14ac:dyDescent="0.25">
      <c r="B25" s="606" t="s">
        <v>425</v>
      </c>
      <c r="C25" s="483"/>
      <c r="D25" s="483"/>
      <c r="E25" s="483"/>
      <c r="F25" s="483"/>
      <c r="G25" s="483"/>
      <c r="H25" s="483"/>
      <c r="I25" s="483"/>
      <c r="J25" s="483"/>
      <c r="K25" s="483"/>
      <c r="L25" s="483"/>
      <c r="M25" s="483"/>
      <c r="N25" s="483"/>
      <c r="O25" s="483"/>
      <c r="P25" s="483"/>
      <c r="Q25" s="483"/>
      <c r="R25" s="483"/>
      <c r="S25" s="483"/>
      <c r="T25" s="483"/>
      <c r="U25" s="483"/>
      <c r="V25" s="483"/>
      <c r="W25" s="483"/>
      <c r="X25" s="484"/>
    </row>
    <row r="26" spans="2:29" ht="95.25" customHeight="1" x14ac:dyDescent="0.25">
      <c r="B26" s="78"/>
      <c r="F26" s="611" t="s">
        <v>426</v>
      </c>
      <c r="G26" s="612" t="s">
        <v>427</v>
      </c>
      <c r="H26" s="511" t="s">
        <v>428</v>
      </c>
      <c r="I26" s="496"/>
      <c r="J26" s="496"/>
      <c r="K26" s="496"/>
      <c r="L26" s="496"/>
      <c r="M26" s="496"/>
      <c r="N26" s="496"/>
      <c r="O26" s="496"/>
      <c r="P26" s="496"/>
      <c r="Q26" s="496"/>
      <c r="R26" s="496"/>
      <c r="S26" s="496"/>
      <c r="T26" s="496"/>
      <c r="U26" s="496"/>
      <c r="V26" s="496"/>
      <c r="W26" s="496"/>
      <c r="X26" s="512"/>
    </row>
    <row r="27" spans="2:29" x14ac:dyDescent="0.25">
      <c r="B27" s="78"/>
      <c r="C27" s="127" t="s">
        <v>429</v>
      </c>
      <c r="D27" s="128"/>
      <c r="E27" s="389"/>
      <c r="F27" s="608">
        <f>IF(ISBLANK(E17),G14,E18)</f>
        <v>5350589.8064911077</v>
      </c>
      <c r="G27" s="613"/>
      <c r="H27" s="126" t="s">
        <v>430</v>
      </c>
      <c r="I27" s="106"/>
      <c r="J27" s="106"/>
      <c r="K27" s="106"/>
      <c r="L27" s="106"/>
      <c r="M27" s="106"/>
      <c r="N27" s="106"/>
      <c r="O27" s="106"/>
      <c r="P27" s="106"/>
      <c r="Q27" s="106"/>
      <c r="R27" s="106"/>
      <c r="S27" s="106"/>
      <c r="T27" s="106"/>
      <c r="U27" s="106"/>
      <c r="V27" s="106"/>
      <c r="W27" s="106"/>
      <c r="X27" s="389"/>
    </row>
    <row r="28" spans="2:29" x14ac:dyDescent="0.25">
      <c r="B28" s="78"/>
      <c r="C28" s="176" t="s">
        <v>431</v>
      </c>
      <c r="D28" s="129"/>
      <c r="E28" s="389"/>
      <c r="F28" s="614"/>
      <c r="G28" s="608">
        <f>K44</f>
        <v>5568065.2810021238</v>
      </c>
      <c r="H28" s="126" t="s">
        <v>430</v>
      </c>
      <c r="I28" s="82"/>
      <c r="J28" s="82"/>
      <c r="K28" s="82"/>
      <c r="L28" s="82"/>
      <c r="M28" s="82"/>
      <c r="N28" s="82"/>
      <c r="O28" s="82"/>
      <c r="P28" s="82"/>
      <c r="Q28" s="82"/>
      <c r="R28" s="82"/>
      <c r="S28" s="82"/>
      <c r="T28" s="82"/>
      <c r="U28" s="82"/>
      <c r="V28" s="82"/>
      <c r="W28" s="82"/>
      <c r="X28" s="83"/>
    </row>
    <row r="29" spans="2:29" x14ac:dyDescent="0.25">
      <c r="B29" s="78"/>
      <c r="C29" s="304" t="s">
        <v>432</v>
      </c>
      <c r="D29" s="129"/>
      <c r="E29" s="389"/>
      <c r="F29" s="608">
        <f>IF(E19="",'Population selection'!H16+'Population selection'!I16,'Inputs and eligible population'!E19)</f>
        <v>4841557</v>
      </c>
      <c r="G29" s="608">
        <f>F29*K42</f>
        <v>5038342.7645655759</v>
      </c>
      <c r="H29" s="126"/>
      <c r="I29" s="82"/>
      <c r="J29" s="82"/>
      <c r="K29" s="82"/>
      <c r="L29" s="82"/>
      <c r="M29" s="82"/>
      <c r="N29" s="82"/>
      <c r="O29" s="82"/>
      <c r="P29" s="82"/>
      <c r="Q29" s="82"/>
      <c r="R29" s="82"/>
      <c r="S29" s="82"/>
      <c r="T29" s="82"/>
      <c r="U29" s="82"/>
      <c r="V29" s="82"/>
      <c r="W29" s="82"/>
      <c r="X29" s="83"/>
    </row>
    <row r="30" spans="2:29" ht="45" customHeight="1" x14ac:dyDescent="0.25">
      <c r="B30" s="80"/>
      <c r="C30" s="616" t="s">
        <v>887</v>
      </c>
      <c r="D30" s="484"/>
      <c r="E30" s="617">
        <v>6.7799999999999999E-2</v>
      </c>
      <c r="F30" s="618">
        <f>F27*E30</f>
        <v>362769.98888009711</v>
      </c>
      <c r="G30" s="618">
        <f>G28*E30</f>
        <v>377514.82605194399</v>
      </c>
      <c r="H30" s="979" t="s">
        <v>1064</v>
      </c>
      <c r="I30" s="980"/>
      <c r="J30" s="980"/>
      <c r="K30" s="980"/>
      <c r="L30" s="980"/>
      <c r="M30" s="980"/>
      <c r="N30" s="996" t="s">
        <v>1065</v>
      </c>
      <c r="O30" s="996"/>
      <c r="P30" s="996"/>
      <c r="Q30" s="996"/>
      <c r="R30" s="996"/>
      <c r="S30" s="996"/>
      <c r="T30" s="996"/>
      <c r="U30" s="996"/>
      <c r="V30" s="996"/>
      <c r="W30" s="996"/>
      <c r="X30" s="997"/>
      <c r="Y30" s="786"/>
      <c r="Z30" s="786"/>
      <c r="AA30" s="786"/>
      <c r="AB30" s="786"/>
      <c r="AC30" s="786"/>
    </row>
    <row r="31" spans="2:29" ht="30" customHeight="1" x14ac:dyDescent="0.25">
      <c r="B31" s="80"/>
      <c r="C31" s="85" t="s">
        <v>433</v>
      </c>
      <c r="D31" s="106"/>
      <c r="E31" s="609">
        <v>8.3599999999999994E-2</v>
      </c>
      <c r="F31" s="755">
        <f>F29*E31</f>
        <v>404754.16519999999</v>
      </c>
      <c r="G31" s="619">
        <f>F31*K42</f>
        <v>421205.45511768217</v>
      </c>
      <c r="H31" s="979" t="s">
        <v>1064</v>
      </c>
      <c r="I31" s="980"/>
      <c r="J31" s="980"/>
      <c r="K31" s="980"/>
      <c r="L31" s="980"/>
      <c r="M31" s="980"/>
      <c r="N31" s="996" t="s">
        <v>1065</v>
      </c>
      <c r="O31" s="996"/>
      <c r="P31" s="996"/>
      <c r="Q31" s="996"/>
      <c r="R31" s="996"/>
      <c r="S31" s="996"/>
      <c r="T31" s="996"/>
      <c r="U31" s="996"/>
      <c r="V31" s="996"/>
      <c r="W31" s="996"/>
      <c r="X31" s="997"/>
    </row>
    <row r="32" spans="2:29" x14ac:dyDescent="0.25">
      <c r="B32" s="80"/>
      <c r="C32" s="183"/>
      <c r="E32" s="184"/>
      <c r="F32" s="185"/>
      <c r="G32" s="185"/>
      <c r="H32" s="101"/>
      <c r="I32" s="101"/>
      <c r="J32" s="101"/>
      <c r="K32" s="101"/>
      <c r="L32" s="101"/>
      <c r="M32" s="101"/>
      <c r="N32" s="101"/>
      <c r="O32" s="101"/>
      <c r="P32" s="101"/>
      <c r="Q32" s="101"/>
      <c r="R32" s="101"/>
      <c r="S32" s="101"/>
      <c r="T32" s="101"/>
      <c r="U32" s="101"/>
      <c r="V32" s="101"/>
      <c r="W32" s="766"/>
      <c r="X32" s="767"/>
    </row>
    <row r="33" spans="2:24" ht="31.5" customHeight="1" x14ac:dyDescent="0.25">
      <c r="B33" s="80"/>
      <c r="C33" s="984" t="s">
        <v>1074</v>
      </c>
      <c r="D33" s="984"/>
      <c r="E33" s="953">
        <v>3.8E-3</v>
      </c>
      <c r="F33" s="615">
        <f>F27*E33</f>
        <v>20332.241264666209</v>
      </c>
      <c r="G33" s="615">
        <f>F33*K42</f>
        <v>21158.64806780807</v>
      </c>
      <c r="H33" s="998" t="s">
        <v>1066</v>
      </c>
      <c r="I33" s="999"/>
      <c r="J33" s="999"/>
      <c r="K33" s="999"/>
      <c r="L33" s="999"/>
      <c r="M33" s="999"/>
      <c r="N33" s="999"/>
      <c r="O33" s="999"/>
      <c r="P33" s="999"/>
      <c r="Q33" s="999"/>
      <c r="R33" s="999"/>
      <c r="S33" s="999"/>
      <c r="T33" s="999"/>
      <c r="U33" s="999"/>
      <c r="V33" s="999"/>
      <c r="W33" s="999"/>
      <c r="X33" s="1000"/>
    </row>
    <row r="34" spans="2:24" x14ac:dyDescent="0.25">
      <c r="B34" s="80"/>
      <c r="C34" s="183"/>
      <c r="E34" s="184"/>
      <c r="F34" s="185"/>
      <c r="G34" s="185"/>
      <c r="H34" s="180"/>
      <c r="I34" s="483"/>
      <c r="J34" s="483"/>
      <c r="K34" s="483"/>
      <c r="L34" s="483"/>
      <c r="M34" s="483"/>
      <c r="N34" s="483"/>
      <c r="O34" s="483"/>
      <c r="P34" s="483"/>
      <c r="Q34" s="483"/>
      <c r="R34" s="483"/>
      <c r="X34" s="79"/>
    </row>
    <row r="35" spans="2:24" x14ac:dyDescent="0.25">
      <c r="B35" s="80"/>
      <c r="C35" t="s">
        <v>878</v>
      </c>
      <c r="F35" s="306" t="s">
        <v>48</v>
      </c>
      <c r="G35" s="185"/>
      <c r="H35" s="101"/>
      <c r="X35" s="79"/>
    </row>
    <row r="36" spans="2:24" x14ac:dyDescent="0.25">
      <c r="B36" s="80"/>
      <c r="C36" s="183"/>
      <c r="E36" s="184"/>
      <c r="F36" s="185"/>
      <c r="G36" s="185"/>
      <c r="H36" s="101"/>
      <c r="I36" s="351"/>
      <c r="X36" s="79"/>
    </row>
    <row r="37" spans="2:24" ht="30" x14ac:dyDescent="0.25">
      <c r="B37" s="80"/>
      <c r="C37" t="str">
        <f>"Manually entered current eligible population "&amp;IF(F35="no","","(n/a)")</f>
        <v>Manually entered current eligible population (n/a)</v>
      </c>
      <c r="E37" s="410" t="s">
        <v>888</v>
      </c>
      <c r="F37" s="621"/>
      <c r="G37" s="278" t="str">
        <f>IF(F35="yes","Leave blue cell on left blank if template estimate is used","local value")</f>
        <v>Leave blue cell on left blank if template estimate is used</v>
      </c>
      <c r="X37" s="79"/>
    </row>
    <row r="38" spans="2:24" ht="27" customHeight="1" x14ac:dyDescent="0.25">
      <c r="B38" s="80"/>
      <c r="E38" s="410" t="s">
        <v>889</v>
      </c>
      <c r="F38" s="621"/>
      <c r="G38" s="87"/>
      <c r="I38" s="978"/>
      <c r="J38" s="978"/>
      <c r="K38" s="978"/>
      <c r="L38" s="978"/>
      <c r="M38" s="978"/>
      <c r="N38" s="978"/>
      <c r="O38" s="978"/>
      <c r="P38" s="978"/>
      <c r="Q38" s="978"/>
      <c r="R38" s="978"/>
      <c r="S38" s="978"/>
      <c r="T38" s="978"/>
      <c r="U38" s="978"/>
      <c r="V38" s="978"/>
      <c r="W38" s="978"/>
      <c r="X38" s="79"/>
    </row>
    <row r="39" spans="2:24" x14ac:dyDescent="0.25">
      <c r="B39" s="80"/>
      <c r="F39" s="791"/>
      <c r="G39" s="87"/>
      <c r="X39" s="79"/>
    </row>
    <row r="40" spans="2:24" x14ac:dyDescent="0.25">
      <c r="B40" s="80"/>
      <c r="G40" s="279" t="str">
        <f>IF(AND(F35="yes",F37&gt;0),"error, set the drop down above to be 'no'","")</f>
        <v/>
      </c>
      <c r="X40" s="79"/>
    </row>
    <row r="41" spans="2:24" ht="45" x14ac:dyDescent="0.25">
      <c r="B41" s="80"/>
      <c r="C41" s="82"/>
      <c r="F41" s="622" t="s">
        <v>426</v>
      </c>
      <c r="G41" s="612" t="s">
        <v>434</v>
      </c>
      <c r="H41" s="612" t="s">
        <v>435</v>
      </c>
      <c r="I41" s="125" t="s">
        <v>436</v>
      </c>
      <c r="J41" s="612" t="s">
        <v>437</v>
      </c>
      <c r="K41" s="612" t="s">
        <v>438</v>
      </c>
      <c r="L41" s="280"/>
      <c r="M41" s="280"/>
      <c r="N41" s="280"/>
      <c r="O41" s="280"/>
      <c r="P41" s="280"/>
      <c r="Q41" s="280"/>
      <c r="X41" s="79"/>
    </row>
    <row r="42" spans="2:24" x14ac:dyDescent="0.25">
      <c r="B42" s="80"/>
      <c r="C42" s="126" t="s">
        <v>439</v>
      </c>
      <c r="D42" s="106"/>
      <c r="E42" s="389"/>
      <c r="F42" s="614"/>
      <c r="G42" s="623">
        <f>IF(E21&lt;&gt;"",E21+100%,100%)</f>
        <v>1.008</v>
      </c>
      <c r="H42" s="623">
        <f>IF($E$21&lt;&gt;"",G42*(100%+$E$21),100%)</f>
        <v>1.0160640000000001</v>
      </c>
      <c r="I42" s="623">
        <f>IF($E$21&lt;&gt;"",H42*(100%+$E$21),100%)</f>
        <v>1.0241925120000002</v>
      </c>
      <c r="J42" s="623">
        <f>IF($E$21&lt;&gt;"",I42*(100%+$E$21),100%)</f>
        <v>1.0323860520960002</v>
      </c>
      <c r="K42" s="623">
        <f>IF($E$21&lt;&gt;"",J42*(100%+$E$21),100%)</f>
        <v>1.0406451405127681</v>
      </c>
      <c r="L42" t="s">
        <v>440</v>
      </c>
      <c r="M42" s="273"/>
      <c r="N42" s="273"/>
      <c r="O42" s="273"/>
      <c r="P42" s="273"/>
      <c r="Q42" s="273"/>
      <c r="X42" s="79"/>
    </row>
    <row r="43" spans="2:24" x14ac:dyDescent="0.25">
      <c r="B43" s="80"/>
      <c r="C43" s="126" t="s">
        <v>441</v>
      </c>
      <c r="D43" s="106"/>
      <c r="E43" s="389"/>
      <c r="F43" s="614"/>
      <c r="G43" s="624">
        <f>IF(E22&lt;&gt;"",E22+100%,100%)</f>
        <v>1</v>
      </c>
      <c r="H43" s="624">
        <f>IF($E$22&lt;&gt;"",G43*(100%+$E$22),100%)</f>
        <v>1</v>
      </c>
      <c r="I43" s="624">
        <f>IF($E$22&lt;&gt;"",H43*(100%+$E$22),100%)</f>
        <v>1</v>
      </c>
      <c r="J43" s="624">
        <f>IF($E$22&lt;&gt;"",I43*(100%+$E$22),100%)</f>
        <v>1</v>
      </c>
      <c r="K43" s="624">
        <f>IF($E$22&lt;&gt;"",J43*(100%+$E$22),100%)</f>
        <v>1</v>
      </c>
      <c r="L43" t="s">
        <v>440</v>
      </c>
      <c r="M43" s="273"/>
      <c r="N43" s="495"/>
      <c r="O43" s="273"/>
      <c r="P43" s="273"/>
      <c r="Q43" s="273"/>
      <c r="X43" s="79"/>
    </row>
    <row r="44" spans="2:24" x14ac:dyDescent="0.25">
      <c r="B44" s="80"/>
      <c r="C44" s="126" t="s">
        <v>726</v>
      </c>
      <c r="D44" s="106"/>
      <c r="E44" s="389"/>
      <c r="F44" s="608">
        <f>F27</f>
        <v>5350589.8064911077</v>
      </c>
      <c r="G44" s="608">
        <f>F44*G42</f>
        <v>5393394.524943037</v>
      </c>
      <c r="H44" s="608">
        <f>F44*H42</f>
        <v>5436541.6811425816</v>
      </c>
      <c r="I44" s="608">
        <f>F44*I42</f>
        <v>5480034.0145917227</v>
      </c>
      <c r="J44" s="608">
        <f>F44*J42</f>
        <v>5523874.2867084565</v>
      </c>
      <c r="K44" s="608">
        <f>F44*K42</f>
        <v>5568065.2810021238</v>
      </c>
      <c r="M44" s="152"/>
      <c r="N44" s="152"/>
      <c r="O44" s="152"/>
      <c r="P44" s="152"/>
      <c r="Q44" s="152"/>
      <c r="X44" s="79"/>
    </row>
    <row r="45" spans="2:24" x14ac:dyDescent="0.25">
      <c r="B45" s="80"/>
      <c r="C45" s="126" t="s">
        <v>422</v>
      </c>
      <c r="D45" s="106"/>
      <c r="E45" s="389"/>
      <c r="F45" s="608">
        <f>IF(E19="",'Population selection'!H16+'Population selection'!I16,'Inputs and eligible population'!E19)</f>
        <v>4841557</v>
      </c>
      <c r="G45" s="608">
        <f>F45*G42</f>
        <v>4880289.4560000002</v>
      </c>
      <c r="H45" s="608">
        <f>F45*H42</f>
        <v>4919331.771648</v>
      </c>
      <c r="I45" s="608">
        <f>F45*I42</f>
        <v>4958686.4258211851</v>
      </c>
      <c r="J45" s="608">
        <f>F45*J42</f>
        <v>4998355.9172277544</v>
      </c>
      <c r="K45" s="608">
        <f>F45*K42</f>
        <v>5038342.7645655759</v>
      </c>
      <c r="M45" s="152"/>
      <c r="N45" s="152"/>
      <c r="O45" s="152"/>
      <c r="P45" s="152"/>
      <c r="Q45" s="152"/>
      <c r="X45" s="79"/>
    </row>
    <row r="46" spans="2:24" x14ac:dyDescent="0.25">
      <c r="B46" s="80"/>
      <c r="C46" s="347" t="s">
        <v>794</v>
      </c>
      <c r="D46" s="106"/>
      <c r="E46" s="389"/>
      <c r="K46" s="83"/>
      <c r="M46" s="152"/>
      <c r="N46" s="152"/>
      <c r="O46" s="152"/>
      <c r="P46" s="152"/>
      <c r="Q46" s="152"/>
      <c r="X46" s="79"/>
    </row>
    <row r="47" spans="2:24" ht="29.1" customHeight="1" x14ac:dyDescent="0.25">
      <c r="B47" s="80"/>
      <c r="C47" s="985" t="s">
        <v>879</v>
      </c>
      <c r="D47" s="986"/>
      <c r="E47" s="987"/>
      <c r="F47" s="608">
        <f>IF(F35="no",F37,F33)</f>
        <v>20332.241264666209</v>
      </c>
      <c r="G47" s="608">
        <f>$F$47*G42</f>
        <v>20494.899194783538</v>
      </c>
      <c r="H47" s="608">
        <f>$F$47*H42</f>
        <v>20658.858388341807</v>
      </c>
      <c r="I47" s="608">
        <f>$F$47*I42</f>
        <v>20824.129255448544</v>
      </c>
      <c r="J47" s="608">
        <f>$F$47*J42</f>
        <v>20990.722289492132</v>
      </c>
      <c r="K47" s="608">
        <f>$F$47*K42</f>
        <v>21158.64806780807</v>
      </c>
      <c r="L47" s="991"/>
      <c r="M47" s="992"/>
      <c r="N47" s="992"/>
      <c r="O47" s="992"/>
      <c r="P47" s="992"/>
      <c r="Q47" s="992"/>
      <c r="R47" s="992"/>
      <c r="S47" s="992"/>
      <c r="T47" s="992"/>
      <c r="U47" s="992"/>
      <c r="V47" s="992"/>
      <c r="W47" s="992"/>
      <c r="X47" s="993"/>
    </row>
    <row r="48" spans="2:24" x14ac:dyDescent="0.25">
      <c r="B48" s="80"/>
      <c r="C48" s="202" t="s">
        <v>442</v>
      </c>
      <c r="D48" s="106"/>
      <c r="E48" s="389"/>
      <c r="F48" s="620">
        <f t="shared" ref="F48:K48" si="0">SUM(F47:F47)</f>
        <v>20332.241264666209</v>
      </c>
      <c r="G48" s="620">
        <f t="shared" si="0"/>
        <v>20494.899194783538</v>
      </c>
      <c r="H48" s="620">
        <f t="shared" si="0"/>
        <v>20658.858388341807</v>
      </c>
      <c r="I48" s="620">
        <f t="shared" si="0"/>
        <v>20824.129255448544</v>
      </c>
      <c r="J48" s="620">
        <f t="shared" si="0"/>
        <v>20990.722289492132</v>
      </c>
      <c r="K48" s="620">
        <f t="shared" si="0"/>
        <v>21158.64806780807</v>
      </c>
      <c r="L48" s="824"/>
      <c r="M48" s="152"/>
      <c r="N48" s="152"/>
      <c r="O48" s="152"/>
      <c r="P48" s="152"/>
      <c r="Q48" s="152"/>
      <c r="X48" s="79"/>
    </row>
    <row r="49" spans="2:24" x14ac:dyDescent="0.25">
      <c r="B49" s="80"/>
      <c r="C49" s="347" t="s">
        <v>725</v>
      </c>
      <c r="D49" s="106"/>
      <c r="E49" s="389"/>
      <c r="K49" s="389"/>
      <c r="M49" s="152"/>
      <c r="N49" s="152"/>
      <c r="O49" s="152"/>
      <c r="P49" s="152"/>
      <c r="Q49" s="152"/>
      <c r="X49" s="79"/>
    </row>
    <row r="50" spans="2:24" x14ac:dyDescent="0.25">
      <c r="B50" s="80"/>
      <c r="C50" s="985" t="s">
        <v>881</v>
      </c>
      <c r="D50" s="986"/>
      <c r="E50" s="987"/>
      <c r="F50" s="620">
        <f>IF(F35="no",F38,F31)</f>
        <v>404754.16519999999</v>
      </c>
      <c r="G50" s="620">
        <f>$F$50*G42</f>
        <v>407992.19852159999</v>
      </c>
      <c r="H50" s="620">
        <f>$F$50*H42</f>
        <v>411256.13610977284</v>
      </c>
      <c r="I50" s="620">
        <f>$F$50*I42</f>
        <v>414546.18519865104</v>
      </c>
      <c r="J50" s="620">
        <f>$F$50*J42</f>
        <v>417862.55468024028</v>
      </c>
      <c r="K50" s="620">
        <f>$F$50*K42</f>
        <v>421205.45511768217</v>
      </c>
      <c r="L50" s="988" t="s">
        <v>842</v>
      </c>
      <c r="M50" s="989"/>
      <c r="N50" s="989"/>
      <c r="O50" s="989"/>
      <c r="P50" s="989"/>
      <c r="Q50" s="989"/>
      <c r="R50" s="989"/>
      <c r="S50" s="989"/>
      <c r="T50" s="989"/>
      <c r="U50" s="989"/>
      <c r="V50" s="989"/>
      <c r="W50" s="989"/>
      <c r="X50" s="990"/>
    </row>
    <row r="51" spans="2:24" x14ac:dyDescent="0.25">
      <c r="B51" s="80"/>
      <c r="C51" s="985" t="s">
        <v>734</v>
      </c>
      <c r="D51" s="986"/>
      <c r="E51" s="987"/>
      <c r="F51" s="955">
        <v>1</v>
      </c>
      <c r="G51" s="955">
        <v>1</v>
      </c>
      <c r="H51" s="955">
        <v>1</v>
      </c>
      <c r="I51" s="955">
        <v>1</v>
      </c>
      <c r="J51" s="955">
        <v>1</v>
      </c>
      <c r="K51" s="955">
        <v>1</v>
      </c>
      <c r="L51" s="444"/>
      <c r="M51" s="444"/>
      <c r="N51" s="444"/>
      <c r="O51" s="444"/>
      <c r="P51" s="444"/>
      <c r="Q51" s="444"/>
      <c r="R51" s="444"/>
      <c r="S51" s="444"/>
      <c r="T51" s="444"/>
      <c r="U51" s="444"/>
      <c r="V51" s="444"/>
      <c r="W51" s="444"/>
      <c r="X51" s="715"/>
    </row>
    <row r="52" spans="2:24" x14ac:dyDescent="0.25">
      <c r="B52" s="80"/>
      <c r="C52" s="985" t="s">
        <v>735</v>
      </c>
      <c r="D52" s="986"/>
      <c r="E52" s="987"/>
      <c r="F52" s="716">
        <f>F50*F51</f>
        <v>404754.16519999999</v>
      </c>
      <c r="G52" s="716">
        <f t="shared" ref="G52:K52" si="1">G50*G51</f>
        <v>407992.19852159999</v>
      </c>
      <c r="H52" s="716">
        <f t="shared" si="1"/>
        <v>411256.13610977284</v>
      </c>
      <c r="I52" s="716">
        <f t="shared" si="1"/>
        <v>414546.18519865104</v>
      </c>
      <c r="J52" s="716">
        <f t="shared" si="1"/>
        <v>417862.55468024028</v>
      </c>
      <c r="K52" s="756">
        <f t="shared" si="1"/>
        <v>421205.45511768217</v>
      </c>
      <c r="L52" s="444"/>
      <c r="M52" s="444"/>
      <c r="N52" s="444"/>
      <c r="O52" s="444"/>
      <c r="P52" s="444"/>
      <c r="Q52" s="444"/>
      <c r="R52" s="444"/>
      <c r="S52" s="444"/>
      <c r="T52" s="444"/>
      <c r="U52" s="444"/>
      <c r="V52" s="444"/>
      <c r="W52" s="444"/>
      <c r="X52" s="715"/>
    </row>
    <row r="53" spans="2:24" x14ac:dyDescent="0.25">
      <c r="B53" s="80"/>
      <c r="C53" s="347" t="s">
        <v>727</v>
      </c>
      <c r="D53" s="106"/>
      <c r="E53" s="389"/>
      <c r="K53" s="389"/>
      <c r="M53" s="152"/>
      <c r="N53" s="152"/>
      <c r="O53" s="152"/>
      <c r="P53" s="152"/>
      <c r="Q53" s="152"/>
      <c r="X53" s="79"/>
    </row>
    <row r="54" spans="2:24" x14ac:dyDescent="0.25">
      <c r="B54" s="80"/>
      <c r="C54" s="202" t="s">
        <v>433</v>
      </c>
      <c r="D54" s="106"/>
      <c r="E54" s="389"/>
      <c r="F54" s="608">
        <f>IF(F38="",F31,F38)</f>
        <v>404754.16519999999</v>
      </c>
      <c r="G54" s="608">
        <f>$F$54*G42</f>
        <v>407992.19852159999</v>
      </c>
      <c r="H54" s="608">
        <f>$F$54*H42</f>
        <v>411256.13610977284</v>
      </c>
      <c r="I54" s="608">
        <f>$F$54*I42</f>
        <v>414546.18519865104</v>
      </c>
      <c r="J54" s="608">
        <f>$F$54*J42</f>
        <v>417862.55468024028</v>
      </c>
      <c r="K54" s="757">
        <f>$F$54*K42</f>
        <v>421205.45511768217</v>
      </c>
      <c r="M54" s="152"/>
      <c r="N54" s="152"/>
      <c r="O54" s="152"/>
      <c r="P54" s="152"/>
      <c r="Q54" s="152"/>
      <c r="X54" s="79"/>
    </row>
    <row r="55" spans="2:24" ht="30" customHeight="1" x14ac:dyDescent="0.25">
      <c r="B55" s="80"/>
      <c r="C55" s="202" t="s">
        <v>444</v>
      </c>
      <c r="D55" s="106"/>
      <c r="E55" s="389"/>
      <c r="F55" s="954">
        <v>0.4</v>
      </c>
      <c r="G55" s="954">
        <v>0.4</v>
      </c>
      <c r="H55" s="954">
        <v>0.4</v>
      </c>
      <c r="I55" s="954">
        <v>0.4</v>
      </c>
      <c r="J55" s="954">
        <v>0.4</v>
      </c>
      <c r="K55" s="954">
        <v>0.4</v>
      </c>
      <c r="L55" s="180" t="s">
        <v>894</v>
      </c>
      <c r="M55" s="827"/>
      <c r="N55" s="827"/>
      <c r="O55" s="827"/>
      <c r="P55" s="827"/>
      <c r="Q55" s="827"/>
      <c r="R55" s="827"/>
      <c r="S55" s="827"/>
      <c r="T55" s="827"/>
      <c r="U55" s="827"/>
      <c r="V55" s="827"/>
      <c r="X55" s="79"/>
    </row>
    <row r="56" spans="2:24" ht="30" customHeight="1" x14ac:dyDescent="0.25">
      <c r="B56" s="80"/>
      <c r="C56" s="202" t="s">
        <v>895</v>
      </c>
      <c r="D56" s="106"/>
      <c r="E56" s="389"/>
      <c r="F56" s="954">
        <v>0.18559999999999999</v>
      </c>
      <c r="G56" s="954">
        <v>0.18559999999999999</v>
      </c>
      <c r="H56" s="954">
        <v>0.18559999999999999</v>
      </c>
      <c r="I56" s="954">
        <v>0.18559999999999999</v>
      </c>
      <c r="J56" s="954">
        <v>0.18559999999999999</v>
      </c>
      <c r="K56" s="954">
        <v>0.18559999999999999</v>
      </c>
      <c r="L56" s="461" t="s">
        <v>956</v>
      </c>
      <c r="M56" s="827"/>
      <c r="N56" s="827"/>
      <c r="O56" s="827"/>
      <c r="P56" s="827"/>
      <c r="Q56" s="827"/>
      <c r="R56" s="827"/>
      <c r="S56" s="827"/>
      <c r="T56" s="827"/>
      <c r="U56" s="827"/>
      <c r="V56" s="827"/>
      <c r="X56" s="79"/>
    </row>
    <row r="57" spans="2:24" ht="30" customHeight="1" x14ac:dyDescent="0.25">
      <c r="B57" s="80"/>
      <c r="C57" s="981" t="s">
        <v>959</v>
      </c>
      <c r="D57" s="982"/>
      <c r="E57" s="983"/>
      <c r="F57" s="615">
        <f>F54*F55*F56</f>
        <v>30048.949224447999</v>
      </c>
      <c r="G57" s="615">
        <f t="shared" ref="G57:K57" si="2">G54*G55*G56</f>
        <v>30289.340818243581</v>
      </c>
      <c r="H57" s="615">
        <f t="shared" si="2"/>
        <v>30531.655544789533</v>
      </c>
      <c r="I57" s="615">
        <f t="shared" si="2"/>
        <v>30775.908789147852</v>
      </c>
      <c r="J57" s="615">
        <f t="shared" si="2"/>
        <v>31022.116059461037</v>
      </c>
      <c r="K57" s="615">
        <f t="shared" si="2"/>
        <v>31270.292987936726</v>
      </c>
      <c r="L57" s="994"/>
      <c r="M57" s="995"/>
      <c r="N57" s="995"/>
      <c r="O57" s="995"/>
      <c r="P57" s="995"/>
      <c r="Q57" s="995"/>
      <c r="R57" s="995"/>
      <c r="S57" s="995"/>
      <c r="T57" s="995"/>
      <c r="U57" s="995"/>
      <c r="V57" s="995"/>
      <c r="W57" s="995"/>
      <c r="X57" s="79"/>
    </row>
    <row r="58" spans="2:24" x14ac:dyDescent="0.25">
      <c r="B58" s="81"/>
      <c r="C58" s="82"/>
      <c r="D58" s="82"/>
      <c r="E58" s="82"/>
      <c r="F58" s="82"/>
      <c r="G58" s="82"/>
      <c r="H58" s="82"/>
      <c r="I58" s="82"/>
      <c r="J58" s="82"/>
      <c r="K58" s="82"/>
      <c r="L58" s="82"/>
      <c r="M58" s="82"/>
      <c r="N58" s="82"/>
      <c r="O58" s="82"/>
      <c r="P58" s="82"/>
      <c r="Q58" s="82"/>
      <c r="R58" s="82"/>
      <c r="S58" s="82"/>
      <c r="T58" s="82"/>
      <c r="U58" s="82"/>
      <c r="V58" s="82"/>
      <c r="W58" s="82"/>
      <c r="X58" s="83"/>
    </row>
    <row r="59" spans="2:24" x14ac:dyDescent="0.25">
      <c r="D59" s="106"/>
      <c r="K59" s="106"/>
    </row>
    <row r="60" spans="2:24" x14ac:dyDescent="0.25">
      <c r="B60" s="606" t="s">
        <v>445</v>
      </c>
      <c r="C60" s="483"/>
      <c r="E60" s="483"/>
      <c r="F60" s="483"/>
      <c r="G60" s="483"/>
      <c r="H60" s="483"/>
      <c r="I60" s="483"/>
      <c r="J60" s="483"/>
      <c r="L60" s="483"/>
      <c r="M60" s="483"/>
      <c r="N60" s="483"/>
      <c r="O60" s="483"/>
      <c r="P60" s="483"/>
      <c r="Q60" s="483"/>
      <c r="R60" s="483"/>
      <c r="S60" s="484"/>
    </row>
    <row r="61" spans="2:24" x14ac:dyDescent="0.25">
      <c r="B61" s="80" t="s">
        <v>446</v>
      </c>
      <c r="S61" s="79"/>
    </row>
    <row r="62" spans="2:24" x14ac:dyDescent="0.25">
      <c r="B62" s="80" t="s">
        <v>447</v>
      </c>
      <c r="S62" s="79"/>
    </row>
    <row r="63" spans="2:24" ht="15.75" thickBot="1" x14ac:dyDescent="0.3">
      <c r="B63" s="80"/>
      <c r="C63" s="179"/>
      <c r="D63" s="113"/>
      <c r="E63" s="113"/>
      <c r="F63" s="113"/>
      <c r="S63" s="79"/>
    </row>
    <row r="64" spans="2:24" ht="43.35" customHeight="1" thickBot="1" x14ac:dyDescent="0.3">
      <c r="B64" s="80"/>
      <c r="C64" s="625" t="s">
        <v>448</v>
      </c>
      <c r="D64" s="625" t="s">
        <v>449</v>
      </c>
      <c r="E64" s="625" t="s">
        <v>450</v>
      </c>
      <c r="F64" s="478" t="s">
        <v>451</v>
      </c>
      <c r="G64" s="479" t="s">
        <v>443</v>
      </c>
      <c r="H64" s="479" t="s">
        <v>801</v>
      </c>
      <c r="J64" s="625" t="s">
        <v>452</v>
      </c>
      <c r="K64" s="625" t="s">
        <v>453</v>
      </c>
      <c r="N64" s="375"/>
      <c r="O64" s="375"/>
      <c r="P64" s="375"/>
      <c r="Q64" s="376"/>
      <c r="R64" s="377"/>
      <c r="S64" s="79"/>
    </row>
    <row r="65" spans="2:19" ht="30" x14ac:dyDescent="0.25">
      <c r="B65" s="80"/>
      <c r="C65" s="717" t="s">
        <v>806</v>
      </c>
      <c r="D65" s="612" t="s">
        <v>828</v>
      </c>
      <c r="E65" s="612" t="s">
        <v>454</v>
      </c>
      <c r="F65" s="758">
        <v>1</v>
      </c>
      <c r="G65" s="759"/>
      <c r="H65" s="759">
        <v>90</v>
      </c>
      <c r="J65" s="309" t="s">
        <v>456</v>
      </c>
      <c r="K65" s="760">
        <f>VLOOKUP(J65,payscales!B:M,10,0)</f>
        <v>126.44</v>
      </c>
      <c r="N65" s="378"/>
      <c r="O65" s="378"/>
      <c r="P65" s="378"/>
      <c r="Q65" s="409"/>
      <c r="R65" s="378"/>
      <c r="S65" s="79"/>
    </row>
    <row r="66" spans="2:19" ht="30.6" customHeight="1" x14ac:dyDescent="0.25">
      <c r="B66" s="80"/>
      <c r="C66" s="761" t="s">
        <v>750</v>
      </c>
      <c r="D66" s="612" t="s">
        <v>745</v>
      </c>
      <c r="E66" s="612" t="s">
        <v>728</v>
      </c>
      <c r="F66" s="758">
        <v>1</v>
      </c>
      <c r="G66" s="759"/>
      <c r="H66" s="759">
        <v>15</v>
      </c>
      <c r="J66" s="309" t="s">
        <v>457</v>
      </c>
      <c r="K66" s="760">
        <f>VLOOKUP(J66,payscales!B:M,10,0)</f>
        <v>52.41</v>
      </c>
      <c r="S66" s="79"/>
    </row>
    <row r="67" spans="2:19" ht="30.6" customHeight="1" x14ac:dyDescent="0.25">
      <c r="B67" s="80"/>
      <c r="C67" s="761" t="s">
        <v>750</v>
      </c>
      <c r="D67" s="612" t="s">
        <v>746</v>
      </c>
      <c r="E67" s="612" t="s">
        <v>728</v>
      </c>
      <c r="F67" s="759">
        <v>1</v>
      </c>
      <c r="G67" s="759"/>
      <c r="H67" s="759">
        <v>20</v>
      </c>
      <c r="J67" s="309" t="s">
        <v>457</v>
      </c>
      <c r="K67" s="760">
        <f>VLOOKUP(J67,payscales!B:M,10,0)</f>
        <v>52.41</v>
      </c>
      <c r="S67" s="79"/>
    </row>
    <row r="68" spans="2:19" ht="30.6" customHeight="1" x14ac:dyDescent="0.25">
      <c r="B68" s="80"/>
      <c r="C68" s="761" t="s">
        <v>750</v>
      </c>
      <c r="D68" s="612" t="s">
        <v>832</v>
      </c>
      <c r="E68" s="612" t="s">
        <v>728</v>
      </c>
      <c r="F68" s="759">
        <v>1</v>
      </c>
      <c r="G68" s="759"/>
      <c r="H68" s="762">
        <v>30</v>
      </c>
      <c r="J68" s="309" t="s">
        <v>457</v>
      </c>
      <c r="K68" s="760">
        <f>VLOOKUP(J68,payscales!B:M,10,0)</f>
        <v>52.41</v>
      </c>
      <c r="S68" s="79"/>
    </row>
    <row r="69" spans="2:19" ht="30" customHeight="1" x14ac:dyDescent="0.25">
      <c r="B69" s="80"/>
      <c r="C69" s="761" t="s">
        <v>472</v>
      </c>
      <c r="D69" s="612" t="s">
        <v>833</v>
      </c>
      <c r="E69" s="612" t="s">
        <v>455</v>
      </c>
      <c r="F69" s="763"/>
      <c r="G69" s="764">
        <v>1</v>
      </c>
      <c r="H69" s="765">
        <v>15</v>
      </c>
      <c r="J69" s="309" t="s">
        <v>457</v>
      </c>
      <c r="K69" s="760">
        <f>VLOOKUP(J69,payscales!B:M,10,0)</f>
        <v>52.41</v>
      </c>
      <c r="N69" s="378"/>
      <c r="O69" s="378"/>
      <c r="P69" s="378"/>
      <c r="Q69" s="378"/>
      <c r="R69" s="378"/>
      <c r="S69" s="79"/>
    </row>
    <row r="70" spans="2:19" ht="30.6" customHeight="1" x14ac:dyDescent="0.25">
      <c r="B70" s="80"/>
      <c r="C70" s="761" t="s">
        <v>751</v>
      </c>
      <c r="D70" s="612" t="s">
        <v>745</v>
      </c>
      <c r="E70" s="612" t="s">
        <v>728</v>
      </c>
      <c r="F70" s="758">
        <v>1</v>
      </c>
      <c r="G70" s="759"/>
      <c r="H70" s="759">
        <v>15</v>
      </c>
      <c r="J70" s="309" t="s">
        <v>457</v>
      </c>
      <c r="K70" s="760">
        <f>VLOOKUP(J70,payscales!B:M,10,0)</f>
        <v>52.41</v>
      </c>
      <c r="S70" s="79"/>
    </row>
    <row r="71" spans="2:19" ht="30.6" customHeight="1" x14ac:dyDescent="0.25">
      <c r="B71" s="80"/>
      <c r="C71" s="761" t="s">
        <v>751</v>
      </c>
      <c r="D71" s="612" t="s">
        <v>746</v>
      </c>
      <c r="E71" s="612" t="s">
        <v>728</v>
      </c>
      <c r="F71" s="759">
        <v>1</v>
      </c>
      <c r="G71" s="759"/>
      <c r="H71" s="759">
        <v>20</v>
      </c>
      <c r="J71" s="309" t="s">
        <v>457</v>
      </c>
      <c r="K71" s="760">
        <f>VLOOKUP(J71,payscales!B:M,10,0)</f>
        <v>52.41</v>
      </c>
      <c r="S71" s="79"/>
    </row>
    <row r="72" spans="2:19" ht="30.6" customHeight="1" x14ac:dyDescent="0.25">
      <c r="B72" s="80"/>
      <c r="C72" s="761" t="s">
        <v>751</v>
      </c>
      <c r="D72" s="612" t="s">
        <v>834</v>
      </c>
      <c r="E72" s="612" t="s">
        <v>728</v>
      </c>
      <c r="F72" s="759">
        <v>1</v>
      </c>
      <c r="G72" s="759"/>
      <c r="H72" s="762">
        <v>30</v>
      </c>
      <c r="J72" s="309" t="s">
        <v>457</v>
      </c>
      <c r="K72" s="760">
        <f>VLOOKUP(J72,payscales!B:M,10,0)</f>
        <v>52.41</v>
      </c>
      <c r="S72" s="79"/>
    </row>
    <row r="73" spans="2:19" ht="30" customHeight="1" x14ac:dyDescent="0.25">
      <c r="B73" s="80"/>
      <c r="C73" s="761" t="s">
        <v>751</v>
      </c>
      <c r="D73" s="612" t="s">
        <v>764</v>
      </c>
      <c r="E73" s="612" t="s">
        <v>455</v>
      </c>
      <c r="F73" s="763"/>
      <c r="G73" s="764">
        <v>1</v>
      </c>
      <c r="H73" s="765">
        <v>15</v>
      </c>
      <c r="J73" s="309" t="s">
        <v>457</v>
      </c>
      <c r="K73" s="760">
        <f>VLOOKUP(J73,payscales!B:M,10,0)</f>
        <v>52.41</v>
      </c>
      <c r="N73" s="378"/>
      <c r="O73" s="378"/>
      <c r="P73" s="378"/>
      <c r="Q73" s="378"/>
      <c r="R73" s="378"/>
      <c r="S73" s="79"/>
    </row>
    <row r="74" spans="2:19" x14ac:dyDescent="0.25">
      <c r="B74" s="80"/>
      <c r="C74" s="179"/>
      <c r="D74" s="113"/>
      <c r="E74" s="113"/>
      <c r="F74" s="113"/>
      <c r="S74" s="79"/>
    </row>
    <row r="75" spans="2:19" x14ac:dyDescent="0.25">
      <c r="B75" s="80"/>
      <c r="C75" s="107" t="s">
        <v>458</v>
      </c>
      <c r="D75" s="74"/>
      <c r="S75" s="79"/>
    </row>
    <row r="76" spans="2:19" x14ac:dyDescent="0.25">
      <c r="B76" s="80"/>
      <c r="C76" t="s">
        <v>459</v>
      </c>
      <c r="D76" s="74"/>
      <c r="S76" s="79"/>
    </row>
    <row r="77" spans="2:19" x14ac:dyDescent="0.25">
      <c r="B77" s="80"/>
      <c r="C77" t="s">
        <v>460</v>
      </c>
      <c r="D77" s="74"/>
      <c r="S77" s="79"/>
    </row>
    <row r="78" spans="2:19" x14ac:dyDescent="0.25">
      <c r="B78" s="80"/>
      <c r="C78" t="s">
        <v>960</v>
      </c>
      <c r="D78" s="74"/>
      <c r="H78" s="181"/>
      <c r="S78" s="79"/>
    </row>
    <row r="79" spans="2:19" x14ac:dyDescent="0.25">
      <c r="B79" s="80"/>
      <c r="C79" t="s">
        <v>804</v>
      </c>
      <c r="D79" s="74"/>
      <c r="H79" s="181"/>
      <c r="S79" s="79"/>
    </row>
    <row r="80" spans="2:19" x14ac:dyDescent="0.25">
      <c r="B80" s="81"/>
      <c r="C80" s="180" t="s">
        <v>800</v>
      </c>
      <c r="D80" s="84"/>
      <c r="E80" s="84"/>
      <c r="F80" s="84"/>
      <c r="G80" s="84"/>
      <c r="H80" s="82"/>
      <c r="I80" s="82"/>
      <c r="J80" s="82"/>
      <c r="K80" s="82"/>
      <c r="L80" s="82"/>
      <c r="M80" s="82"/>
      <c r="N80" s="82"/>
      <c r="O80" s="82"/>
      <c r="P80" s="82"/>
      <c r="Q80" s="82"/>
      <c r="R80" s="82"/>
      <c r="S80" s="83"/>
    </row>
    <row r="81" spans="2:19" x14ac:dyDescent="0.25">
      <c r="D81" s="74"/>
      <c r="E81" s="74"/>
      <c r="F81" s="74"/>
      <c r="G81" s="74"/>
    </row>
    <row r="82" spans="2:19" x14ac:dyDescent="0.25">
      <c r="B82" s="626" t="s">
        <v>1072</v>
      </c>
      <c r="C82" s="496"/>
      <c r="D82" s="496"/>
      <c r="E82" s="496"/>
      <c r="F82" s="496"/>
      <c r="G82" s="496"/>
      <c r="H82" s="496"/>
      <c r="I82" s="496"/>
      <c r="J82" s="496"/>
      <c r="K82" s="496"/>
      <c r="L82" s="496"/>
      <c r="M82" s="496"/>
      <c r="N82" s="496"/>
      <c r="O82" s="496"/>
      <c r="P82" s="496"/>
      <c r="Q82" s="496"/>
      <c r="R82" s="496"/>
      <c r="S82" s="512"/>
    </row>
    <row r="83" spans="2:19" x14ac:dyDescent="0.25">
      <c r="B83" s="122"/>
      <c r="C83" s="117"/>
      <c r="D83" s="117"/>
      <c r="E83" s="117"/>
      <c r="F83" s="117"/>
      <c r="G83" s="117"/>
      <c r="H83" s="117"/>
      <c r="I83" s="117"/>
      <c r="J83" s="117"/>
      <c r="K83" s="117"/>
      <c r="L83" s="117"/>
      <c r="M83" s="117"/>
      <c r="N83" s="117"/>
      <c r="O83" s="117"/>
      <c r="P83" s="117"/>
      <c r="Q83" s="117"/>
      <c r="R83" s="117"/>
      <c r="S83" s="123"/>
    </row>
    <row r="84" spans="2:19" x14ac:dyDescent="0.25">
      <c r="B84" s="122"/>
      <c r="C84" s="316" t="s">
        <v>461</v>
      </c>
      <c r="D84" s="117"/>
      <c r="E84" s="117"/>
      <c r="F84" s="117"/>
      <c r="G84" s="117"/>
      <c r="H84" s="117"/>
      <c r="I84" s="117"/>
      <c r="J84" s="117"/>
      <c r="K84" s="117"/>
      <c r="L84" s="117"/>
      <c r="M84" s="117"/>
      <c r="N84" s="117"/>
      <c r="O84" s="117"/>
      <c r="P84" s="117"/>
      <c r="Q84" s="117"/>
      <c r="R84" s="117"/>
      <c r="S84" s="123"/>
    </row>
    <row r="85" spans="2:19" x14ac:dyDescent="0.25">
      <c r="B85" s="122"/>
      <c r="C85" s="317" t="s">
        <v>1067</v>
      </c>
      <c r="D85" s="117"/>
      <c r="E85" s="117"/>
      <c r="F85" s="117"/>
      <c r="G85" s="117"/>
      <c r="H85" s="117"/>
      <c r="I85" s="117"/>
      <c r="J85" s="117"/>
      <c r="K85" s="117"/>
      <c r="L85" s="117"/>
      <c r="M85" s="117"/>
      <c r="N85" s="117"/>
      <c r="O85" s="117"/>
      <c r="P85" s="117"/>
      <c r="Q85" s="117"/>
      <c r="R85" s="117"/>
      <c r="S85" s="123"/>
    </row>
    <row r="86" spans="2:19" x14ac:dyDescent="0.25">
      <c r="B86" s="122"/>
      <c r="C86" s="477" t="s">
        <v>1068</v>
      </c>
      <c r="D86" s="117"/>
      <c r="E86" s="117"/>
      <c r="F86" s="117"/>
      <c r="G86" s="117"/>
      <c r="H86" s="117"/>
      <c r="I86" s="117"/>
      <c r="J86" s="117"/>
      <c r="K86" s="117"/>
      <c r="L86" s="117"/>
      <c r="M86" s="117"/>
      <c r="N86" s="117"/>
      <c r="O86" s="117"/>
      <c r="P86" s="117"/>
      <c r="Q86" s="117"/>
      <c r="R86" s="117"/>
      <c r="S86" s="123"/>
    </row>
    <row r="87" spans="2:19" x14ac:dyDescent="0.25">
      <c r="B87" s="122"/>
      <c r="C87" s="226"/>
      <c r="D87" s="117"/>
      <c r="E87" s="117"/>
      <c r="F87" s="117"/>
      <c r="G87" s="117"/>
      <c r="H87" s="117"/>
      <c r="I87" s="117"/>
      <c r="J87" s="117"/>
      <c r="K87" s="117"/>
      <c r="L87" s="117"/>
      <c r="M87" s="117"/>
      <c r="N87" s="117"/>
      <c r="O87" s="117"/>
      <c r="P87" s="117"/>
      <c r="Q87" s="117"/>
      <c r="R87" s="117"/>
      <c r="S87" s="123"/>
    </row>
    <row r="88" spans="2:19" x14ac:dyDescent="0.25">
      <c r="B88" s="122"/>
      <c r="C88" s="226" t="s">
        <v>1069</v>
      </c>
      <c r="D88" s="117"/>
      <c r="E88" s="117"/>
      <c r="F88" s="117"/>
      <c r="G88" s="117"/>
      <c r="H88" s="117"/>
      <c r="I88" s="117"/>
      <c r="J88" s="117"/>
      <c r="K88" s="117"/>
      <c r="L88" s="117"/>
      <c r="M88" s="117"/>
      <c r="N88" s="117"/>
      <c r="O88" s="117"/>
      <c r="P88" s="117"/>
      <c r="Q88" s="117"/>
      <c r="R88" s="117"/>
      <c r="S88" s="123"/>
    </row>
    <row r="89" spans="2:19" x14ac:dyDescent="0.25">
      <c r="B89" s="122"/>
      <c r="C89" s="226"/>
      <c r="D89" s="117"/>
      <c r="E89" s="117"/>
      <c r="F89" s="117"/>
      <c r="G89" s="117"/>
      <c r="H89" s="117"/>
      <c r="I89" s="117"/>
      <c r="J89" s="117"/>
      <c r="K89" s="117"/>
      <c r="L89" s="117"/>
      <c r="M89" s="117"/>
      <c r="N89" s="117"/>
      <c r="O89" s="117"/>
      <c r="P89" s="117"/>
      <c r="Q89" s="117"/>
      <c r="R89" s="117"/>
      <c r="S89" s="123"/>
    </row>
    <row r="90" spans="2:19" x14ac:dyDescent="0.25">
      <c r="B90" s="122"/>
      <c r="C90" s="226" t="s">
        <v>462</v>
      </c>
      <c r="D90" s="117"/>
      <c r="E90" s="117"/>
      <c r="F90" s="117"/>
      <c r="G90" s="117"/>
      <c r="H90" s="117"/>
      <c r="I90" s="117"/>
      <c r="J90" s="117"/>
      <c r="K90" s="117"/>
      <c r="L90" s="117"/>
      <c r="M90" s="117"/>
      <c r="N90" s="117"/>
      <c r="O90" s="117"/>
      <c r="P90" s="117"/>
      <c r="Q90" s="117"/>
      <c r="R90" s="117"/>
      <c r="S90" s="123"/>
    </row>
    <row r="91" spans="2:19" x14ac:dyDescent="0.25">
      <c r="B91" s="122"/>
      <c r="C91" s="317" t="s">
        <v>1070</v>
      </c>
      <c r="D91" s="117"/>
      <c r="E91" s="117"/>
      <c r="F91" s="117"/>
      <c r="G91" s="117"/>
      <c r="H91" s="117"/>
      <c r="I91" s="117"/>
      <c r="J91" s="117"/>
      <c r="K91" s="117"/>
      <c r="L91" s="117"/>
      <c r="M91" s="117"/>
      <c r="N91" s="117"/>
      <c r="O91" s="117"/>
      <c r="P91" s="117"/>
      <c r="Q91" s="117"/>
      <c r="R91" s="117"/>
      <c r="S91" s="123"/>
    </row>
    <row r="92" spans="2:19" x14ac:dyDescent="0.25">
      <c r="B92" s="122"/>
      <c r="C92" s="477" t="s">
        <v>1071</v>
      </c>
      <c r="D92" s="117"/>
      <c r="E92" s="117"/>
      <c r="F92" s="117"/>
      <c r="G92" s="117"/>
      <c r="H92" s="117"/>
      <c r="I92" s="117"/>
      <c r="J92" s="117"/>
      <c r="K92" s="117"/>
      <c r="L92" s="117"/>
      <c r="M92" s="117"/>
      <c r="N92" s="117"/>
      <c r="O92" s="117"/>
      <c r="P92" s="117"/>
      <c r="Q92" s="117"/>
      <c r="R92" s="117"/>
      <c r="S92" s="123"/>
    </row>
    <row r="93" spans="2:19" x14ac:dyDescent="0.25">
      <c r="B93" s="120"/>
      <c r="C93" s="124"/>
      <c r="D93" s="119"/>
      <c r="E93" s="119"/>
      <c r="F93" s="119"/>
      <c r="G93" s="119"/>
      <c r="H93" s="119"/>
      <c r="I93" s="119"/>
      <c r="J93" s="119"/>
      <c r="K93" s="119"/>
      <c r="L93" s="119"/>
      <c r="M93" s="119"/>
      <c r="N93" s="119"/>
      <c r="O93" s="119"/>
      <c r="P93" s="119"/>
      <c r="Q93" s="119"/>
      <c r="R93" s="119"/>
      <c r="S93" s="121"/>
    </row>
  </sheetData>
  <sheetProtection algorithmName="SHA-512" hashValue="YV9q8kfxSol2LI7bmz51vbkcQaDE666iYvvPhpYHbhfImsohL7ebT3di7Ra7YS+xrj1EVC4x7lSidqYFX73c4g==" saltValue="wDYzla3//HKpKaI/dC4P8w==" spinCount="100000" sheet="1" objects="1" scenarios="1"/>
  <protectedRanges>
    <protectedRange sqref="E11:E13 E15 F65:H73 E21:E22 E30:G31 F35 E36:F36 G40 G63:H63 F37:F39 E32:F34 G32:G36 G74:H74 E17:E19" name="Range1"/>
  </protectedRanges>
  <mergeCells count="15">
    <mergeCell ref="I38:W38"/>
    <mergeCell ref="H30:M30"/>
    <mergeCell ref="C57:E57"/>
    <mergeCell ref="C33:D33"/>
    <mergeCell ref="C47:E47"/>
    <mergeCell ref="L50:X50"/>
    <mergeCell ref="L47:X47"/>
    <mergeCell ref="C50:E50"/>
    <mergeCell ref="C51:E51"/>
    <mergeCell ref="C52:E52"/>
    <mergeCell ref="L57:W57"/>
    <mergeCell ref="N30:X30"/>
    <mergeCell ref="H33:X33"/>
    <mergeCell ref="H31:M31"/>
    <mergeCell ref="N31:X31"/>
  </mergeCells>
  <phoneticPr fontId="43" type="noConversion"/>
  <conditionalFormatting sqref="G12:G14">
    <cfRule type="cellIs" dxfId="0" priority="1" operator="equal">
      <formula>0</formula>
    </cfRule>
  </conditionalFormatting>
  <dataValidations count="1">
    <dataValidation type="list" allowBlank="1" showInputMessage="1" showErrorMessage="1" sqref="E11" xr:uid="{A1309421-97D1-407A-BD55-015169719BCD}">
      <formula1>ORGTYPE</formula1>
    </dataValidation>
  </dataValidations>
  <hyperlinks>
    <hyperlink ref="C92" r:id="rId1" location=":~:text=NRS%20Mid%2DYear%20Population%20Estimates,one%20year%20since%201946%2D1947." xr:uid="{D437A207-70B8-4AD3-B4EF-AE1CCC50890A}"/>
    <hyperlink ref="H33" r:id="rId2" display="https://bmcmedicine.biomedcentral.com/articles/10.1186/s12916-016-0657-8" xr:uid="{22B38D9B-D7AD-497F-AF72-82492110163D}"/>
    <hyperlink ref="C80" r:id="rId3" location=":~:text=The%20test%20usually%20takes%20up,to%20check%20your%20lung%20function." display="https://www.asthmaandlung.org.uk/symptoms-tests-treatments/tests/bronchial-challenge-tests - :~:text=The%20test%20usually%20takes%20up,to%20check%20your%20lung%20function." xr:uid="{FB81F1A6-5A5E-4542-BE23-2965CEFB2F60}"/>
    <hyperlink ref="L55" r:id="rId4" location=":~:text=Levels%20of%20uncontrolled%20asthma%20remain%20an%20area%20of,at%20a%20higher%20risk%20of%20an%20asthma%20attack." display="https://www.asthmaandlung.org.uk/sites/default/files/2023-03/aas-2020_2a-1.pdf - :~:text=Levels%20of%20uncontrolled%20asthma%20remain%20an%20area%20of,at%20a%20higher%20risk%20of%20an%20asthma%20attack." xr:uid="{26F66226-FDA5-4CE5-9034-911D39F8F988}"/>
    <hyperlink ref="H30:M30" r:id="rId5" display="General Practice - disease prevalence visualisation 27 June 2023 - General practice - disease prevalence data visualisation - Publications - Public Health Scotland" xr:uid="{FEA7C560-5AA9-4665-B23B-AED3B38692C9}"/>
    <hyperlink ref="N30:X30" r:id="rId6" display="General practice disease prevalence data visualisation 28 June 2022 - General practice - disease prevalence data visualisation - Publications - Public Health Scotland" xr:uid="{F581C0D6-ADE3-4A8D-8446-9376B561A41C}"/>
    <hyperlink ref="H31:M31" r:id="rId7" display="General Practice - disease prevalence visualisation 27 June 2023 - General practice - disease prevalence data visualisation - Publications - Public Health Scotland" xr:uid="{862EF46F-E86E-4E99-8AD4-1B9EBF416328}"/>
    <hyperlink ref="N31:X31" r:id="rId8" display="General practice disease prevalence data visualisation 28 June 2022 - General practice - disease prevalence data visualisation - Publications - Public Health Scotland" xr:uid="{B8460F96-4A60-4569-94C8-1E2B2ED72EFD}"/>
    <hyperlink ref="C86" r:id="rId9" xr:uid="{EFCC9E55-E11C-4C6A-A2A6-6DCC7F1CB831}"/>
  </hyperlinks>
  <pageMargins left="0.7" right="0.7" top="0.75" bottom="0.75" header="0.3" footer="0.3"/>
  <pageSetup paperSize="9" scale="49" orientation="portrait" r:id="rId10"/>
  <extLst>
    <ext xmlns:x14="http://schemas.microsoft.com/office/spreadsheetml/2009/9/main" uri="{CCE6A557-97BC-4b89-ADB6-D9C93CAAB3DF}">
      <x14:dataValidations xmlns:xm="http://schemas.microsoft.com/office/excel/2006/main" count="3">
        <x14:dataValidation type="list" allowBlank="1" showInputMessage="1" showErrorMessage="1" xr:uid="{090C99F5-D42A-4049-9E2B-6741FE877F74}">
          <x14:formula1>
            <xm:f>payscales!$B$12:$B$47</xm:f>
          </x14:formula1>
          <xm:sqref>J65:J73</xm:sqref>
        </x14:dataValidation>
        <x14:dataValidation type="list" allowBlank="1" showInputMessage="1" showErrorMessage="1" xr:uid="{A6BC5C51-FF9A-4F12-89AC-EF46E73BECE7}">
          <x14:formula1>
            <xm:f>INDIRECT('Population selection'!$O$7)</xm:f>
          </x14:formula1>
          <xm:sqref>E12:E13</xm:sqref>
        </x14:dataValidation>
        <x14:dataValidation type="list" allowBlank="1" showInputMessage="1" showErrorMessage="1" prompt="Please select yes or no" xr:uid="{39366EE1-C007-48FC-9822-34A2EDD2FCE5}">
          <x14:formula1>
            <xm:f>'Population selection'!$R$6:$R$7</xm:f>
          </x14:formula1>
          <xm:sqref>E15 F35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EE863-CFA6-47C0-B42F-386A5EBCC342}">
  <sheetPr>
    <tabColor theme="8" tint="0.59999389629810485"/>
  </sheetPr>
  <dimension ref="B2:X103"/>
  <sheetViews>
    <sheetView showGridLines="0" topLeftCell="B1" zoomScale="85" zoomScaleNormal="85" workbookViewId="0">
      <selection activeCell="L95" sqref="L95"/>
    </sheetView>
  </sheetViews>
  <sheetFormatPr defaultRowHeight="15" x14ac:dyDescent="0.25"/>
  <cols>
    <col min="1" max="1" width="2.42578125" customWidth="1"/>
    <col min="2" max="2" width="5.5703125" customWidth="1"/>
    <col min="3" max="3" width="37.5703125" customWidth="1"/>
    <col min="4" max="4" width="47.28515625" customWidth="1"/>
    <col min="5" max="5" width="15.140625" customWidth="1"/>
    <col min="6" max="6" width="13.5703125" customWidth="1"/>
    <col min="7" max="7" width="11.5703125" customWidth="1"/>
    <col min="8" max="8" width="10.42578125" customWidth="1"/>
    <col min="9" max="9" width="11.42578125" customWidth="1"/>
    <col min="12" max="12" width="14.5703125" customWidth="1"/>
    <col min="13" max="13" width="10.85546875" customWidth="1"/>
    <col min="14" max="14" width="11.140625" customWidth="1"/>
    <col min="15" max="15" width="11.5703125" customWidth="1"/>
    <col min="16" max="16" width="11.42578125" customWidth="1"/>
    <col min="17" max="17" width="11.140625" customWidth="1"/>
    <col min="18" max="18" width="73.28515625" customWidth="1"/>
    <col min="24" max="24" width="20.85546875" customWidth="1"/>
  </cols>
  <sheetData>
    <row r="2" spans="2:23" ht="20.25" x14ac:dyDescent="0.25">
      <c r="B2" s="77" t="s">
        <v>463</v>
      </c>
      <c r="C2" s="77"/>
      <c r="D2" s="76"/>
      <c r="E2" s="88"/>
      <c r="F2" s="76"/>
      <c r="G2" s="76"/>
      <c r="H2" s="76"/>
      <c r="I2" s="76"/>
      <c r="J2" s="76"/>
      <c r="K2" s="76"/>
      <c r="L2" s="76"/>
      <c r="M2" s="76"/>
      <c r="N2" s="76"/>
      <c r="O2" s="76"/>
      <c r="P2" s="76"/>
      <c r="Q2" s="76"/>
      <c r="R2" s="76"/>
    </row>
    <row r="4" spans="2:23" ht="21" customHeight="1" x14ac:dyDescent="0.25">
      <c r="B4" s="1003" t="s">
        <v>990</v>
      </c>
      <c r="C4" s="1003"/>
      <c r="D4" s="1003"/>
      <c r="E4" s="1003"/>
      <c r="F4" s="1003"/>
      <c r="G4" s="1003"/>
      <c r="H4" s="1003"/>
      <c r="I4" s="1003"/>
      <c r="J4" s="1003"/>
      <c r="K4" s="1003"/>
      <c r="L4" s="1003"/>
      <c r="M4" s="1003"/>
      <c r="N4" s="1003"/>
      <c r="O4" s="1003"/>
      <c r="P4" s="1003"/>
      <c r="Q4" s="1003"/>
      <c r="R4" s="1003"/>
    </row>
    <row r="5" spans="2:23" ht="21" customHeight="1" x14ac:dyDescent="0.25">
      <c r="B5" s="1003"/>
      <c r="C5" s="1003"/>
      <c r="D5" s="1003"/>
      <c r="E5" s="1003"/>
      <c r="F5" s="1003"/>
      <c r="G5" s="1003"/>
      <c r="H5" s="1003"/>
      <c r="I5" s="1003"/>
      <c r="J5" s="1003"/>
      <c r="K5" s="1003"/>
      <c r="L5" s="1003"/>
      <c r="M5" s="1003"/>
      <c r="N5" s="1003"/>
      <c r="O5" s="1003"/>
      <c r="P5" s="1003"/>
      <c r="Q5" s="1003"/>
      <c r="R5" s="1003"/>
    </row>
    <row r="6" spans="2:23" ht="21" customHeight="1" x14ac:dyDescent="0.25">
      <c r="B6" s="1003"/>
      <c r="C6" s="1003"/>
      <c r="D6" s="1003"/>
      <c r="E6" s="1003"/>
      <c r="F6" s="1003"/>
      <c r="G6" s="1003"/>
      <c r="H6" s="1003"/>
      <c r="I6" s="1003"/>
      <c r="J6" s="1003"/>
      <c r="K6" s="1003"/>
      <c r="L6" s="1003"/>
      <c r="M6" s="1003"/>
      <c r="N6" s="1003"/>
      <c r="O6" s="1003"/>
      <c r="P6" s="1003"/>
      <c r="Q6" s="1003"/>
      <c r="R6" s="1003"/>
    </row>
    <row r="7" spans="2:23" ht="15" customHeight="1" x14ac:dyDescent="0.25">
      <c r="B7" s="754"/>
      <c r="C7" s="754"/>
      <c r="D7" s="754"/>
      <c r="E7" s="754"/>
      <c r="F7" s="754"/>
      <c r="G7" s="754"/>
      <c r="H7" s="754"/>
      <c r="I7" s="754"/>
      <c r="J7" s="754"/>
      <c r="K7" s="754"/>
      <c r="L7" s="754"/>
      <c r="M7" s="754"/>
      <c r="N7" s="754"/>
      <c r="O7" s="754"/>
      <c r="P7" s="754"/>
      <c r="Q7" s="754"/>
      <c r="R7" s="754"/>
    </row>
    <row r="8" spans="2:23" x14ac:dyDescent="0.25">
      <c r="B8" s="606"/>
      <c r="C8" s="627" t="s">
        <v>464</v>
      </c>
      <c r="D8" s="483"/>
      <c r="E8" s="483"/>
      <c r="F8" s="483"/>
      <c r="G8" s="483"/>
      <c r="H8" s="483"/>
      <c r="I8" s="483"/>
      <c r="J8" s="483"/>
      <c r="K8" s="483"/>
      <c r="L8" s="483"/>
      <c r="M8" s="483"/>
      <c r="N8" s="483"/>
      <c r="O8" s="483"/>
      <c r="P8" s="483"/>
      <c r="Q8" s="483"/>
      <c r="R8" s="484"/>
    </row>
    <row r="9" spans="2:23" x14ac:dyDescent="0.25">
      <c r="B9" s="78"/>
      <c r="C9" s="822" t="s">
        <v>471</v>
      </c>
      <c r="R9" s="79"/>
    </row>
    <row r="10" spans="2:23" x14ac:dyDescent="0.25">
      <c r="B10" s="78"/>
      <c r="C10" s="736" t="s">
        <v>890</v>
      </c>
      <c r="D10" s="737"/>
      <c r="E10" s="737"/>
      <c r="F10" s="737"/>
      <c r="G10" s="737"/>
      <c r="H10" s="737"/>
      <c r="I10" s="738"/>
      <c r="J10" s="736"/>
      <c r="K10" s="736"/>
      <c r="L10" s="736"/>
      <c r="M10" s="736"/>
      <c r="N10" s="736"/>
      <c r="O10" s="736"/>
      <c r="Q10" s="733"/>
      <c r="R10" s="79"/>
      <c r="S10" s="733"/>
      <c r="T10" s="733"/>
      <c r="U10" s="733"/>
      <c r="V10" s="733"/>
      <c r="W10" s="733"/>
    </row>
    <row r="11" spans="2:23" x14ac:dyDescent="0.25">
      <c r="B11" s="78"/>
      <c r="C11" s="737" t="s">
        <v>736</v>
      </c>
      <c r="D11" s="737"/>
      <c r="E11" s="737"/>
      <c r="F11" s="737"/>
      <c r="G11" s="737"/>
      <c r="H11" s="737"/>
      <c r="I11" s="737"/>
      <c r="J11" s="736"/>
      <c r="K11" s="736"/>
      <c r="L11" s="736"/>
      <c r="M11" s="736"/>
      <c r="N11" s="736"/>
      <c r="O11" s="736"/>
      <c r="Q11" s="733"/>
      <c r="R11" s="79"/>
      <c r="S11" s="733"/>
      <c r="T11" s="733"/>
      <c r="U11" s="733"/>
      <c r="V11" s="733"/>
      <c r="W11" s="733"/>
    </row>
    <row r="12" spans="2:23" x14ac:dyDescent="0.25">
      <c r="B12" s="80"/>
      <c r="C12" s="733"/>
      <c r="D12" s="733"/>
      <c r="E12" s="733"/>
      <c r="F12" s="733"/>
      <c r="G12" s="733"/>
      <c r="H12" s="733"/>
      <c r="I12" s="733"/>
      <c r="J12" s="732"/>
      <c r="K12" s="732"/>
      <c r="L12" s="732"/>
      <c r="M12" s="732"/>
      <c r="N12" s="732"/>
      <c r="O12" s="732"/>
      <c r="Q12" s="733"/>
      <c r="R12" s="79"/>
      <c r="S12" s="733"/>
      <c r="T12" s="733"/>
      <c r="U12" s="733"/>
      <c r="V12" s="733"/>
      <c r="W12" s="733"/>
    </row>
    <row r="13" spans="2:23" x14ac:dyDescent="0.25">
      <c r="B13" s="80"/>
      <c r="C13" s="73"/>
      <c r="D13" s="180"/>
      <c r="E13" t="s">
        <v>474</v>
      </c>
      <c r="F13" s="74"/>
      <c r="G13" s="74"/>
      <c r="L13" t="s">
        <v>475</v>
      </c>
      <c r="R13" s="79"/>
    </row>
    <row r="14" spans="2:23" x14ac:dyDescent="0.25">
      <c r="B14" s="80"/>
      <c r="C14" s="73" t="s">
        <v>731</v>
      </c>
      <c r="D14" s="180"/>
      <c r="E14" s="349" t="s">
        <v>465</v>
      </c>
      <c r="F14" s="111" t="s">
        <v>466</v>
      </c>
      <c r="G14" s="434" t="s">
        <v>467</v>
      </c>
      <c r="H14" s="434" t="s">
        <v>468</v>
      </c>
      <c r="I14" s="476" t="s">
        <v>469</v>
      </c>
      <c r="J14" s="476" t="s">
        <v>470</v>
      </c>
      <c r="L14" s="612" t="s">
        <v>465</v>
      </c>
      <c r="M14" s="433" t="s">
        <v>466</v>
      </c>
      <c r="N14" s="434" t="s">
        <v>467</v>
      </c>
      <c r="O14" s="434" t="s">
        <v>468</v>
      </c>
      <c r="P14" s="476" t="s">
        <v>469</v>
      </c>
      <c r="Q14" s="476" t="s">
        <v>470</v>
      </c>
      <c r="R14" s="79"/>
    </row>
    <row r="15" spans="2:23" x14ac:dyDescent="0.25">
      <c r="B15" s="80"/>
      <c r="D15" s="470" t="s">
        <v>896</v>
      </c>
      <c r="E15" s="471"/>
      <c r="G15" s="475"/>
      <c r="H15" s="475"/>
      <c r="I15" s="475"/>
      <c r="J15" s="475"/>
      <c r="L15" s="430"/>
      <c r="M15" s="731"/>
      <c r="N15" s="731"/>
      <c r="O15" s="731"/>
      <c r="P15" s="731"/>
      <c r="Q15" s="731"/>
      <c r="R15" s="734"/>
    </row>
    <row r="16" spans="2:23" x14ac:dyDescent="0.25">
      <c r="B16" s="80"/>
      <c r="D16" s="126" t="s">
        <v>472</v>
      </c>
      <c r="E16" s="954">
        <v>0.9</v>
      </c>
      <c r="F16" s="954">
        <v>0.9</v>
      </c>
      <c r="G16" s="954">
        <v>0.9</v>
      </c>
      <c r="H16" s="954">
        <v>0.9</v>
      </c>
      <c r="I16" s="954">
        <v>0.9</v>
      </c>
      <c r="J16" s="954">
        <v>0.9</v>
      </c>
      <c r="L16" s="276">
        <f>'Inputs and eligible population'!F47*E16</f>
        <v>18299.01713819959</v>
      </c>
      <c r="M16" s="276">
        <f>'Inputs and eligible population'!G47*F16</f>
        <v>18445.409275305185</v>
      </c>
      <c r="N16" s="276">
        <f>'Inputs and eligible population'!H47*G16</f>
        <v>18592.972549507627</v>
      </c>
      <c r="O16" s="276">
        <f>'Inputs and eligible population'!I47*H16</f>
        <v>18741.716329903691</v>
      </c>
      <c r="P16" s="276">
        <f>'Inputs and eligible population'!J47*I16</f>
        <v>18891.650060542921</v>
      </c>
      <c r="Q16" s="276">
        <f>'Inputs and eligible population'!K47*J16</f>
        <v>19042.783261027264</v>
      </c>
      <c r="R16" s="734"/>
    </row>
    <row r="17" spans="2:18" x14ac:dyDescent="0.25">
      <c r="B17" s="80"/>
      <c r="D17" s="126" t="s">
        <v>473</v>
      </c>
      <c r="E17" s="472">
        <f t="shared" ref="E17:J17" si="0">100%-E16</f>
        <v>9.9999999999999978E-2</v>
      </c>
      <c r="F17" s="472">
        <f t="shared" si="0"/>
        <v>9.9999999999999978E-2</v>
      </c>
      <c r="G17" s="472">
        <f t="shared" si="0"/>
        <v>9.9999999999999978E-2</v>
      </c>
      <c r="H17" s="472">
        <f t="shared" si="0"/>
        <v>9.9999999999999978E-2</v>
      </c>
      <c r="I17" s="472">
        <f t="shared" si="0"/>
        <v>9.9999999999999978E-2</v>
      </c>
      <c r="J17" s="472">
        <f t="shared" si="0"/>
        <v>9.9999999999999978E-2</v>
      </c>
      <c r="L17" s="725">
        <f>'Inputs and eligible population'!F47*E17</f>
        <v>2033.2241264666204</v>
      </c>
      <c r="M17" s="725">
        <f>'Inputs and eligible population'!G47*F17</f>
        <v>2049.4899194783534</v>
      </c>
      <c r="N17" s="725">
        <f>'Inputs and eligible population'!H47*G17</f>
        <v>2065.88583883418</v>
      </c>
      <c r="O17" s="725">
        <f>'Inputs and eligible population'!I47*H17</f>
        <v>2082.4129255448538</v>
      </c>
      <c r="P17" s="725">
        <f>'Inputs and eligible population'!J47*I17</f>
        <v>2099.0722289492128</v>
      </c>
      <c r="Q17" s="725">
        <f>'Inputs and eligible population'!K47*J17</f>
        <v>2115.8648067808067</v>
      </c>
      <c r="R17" s="734"/>
    </row>
    <row r="18" spans="2:18" x14ac:dyDescent="0.25">
      <c r="B18" s="80"/>
      <c r="C18" s="348"/>
      <c r="D18" t="s">
        <v>897</v>
      </c>
      <c r="E18" s="735">
        <f>SUM(E16:E17)</f>
        <v>1</v>
      </c>
      <c r="F18" s="735">
        <f t="shared" ref="F18:J18" si="1">SUM(F16:F17)</f>
        <v>1</v>
      </c>
      <c r="G18" s="735">
        <f t="shared" si="1"/>
        <v>1</v>
      </c>
      <c r="H18" s="735">
        <f t="shared" si="1"/>
        <v>1</v>
      </c>
      <c r="I18" s="735">
        <f t="shared" si="1"/>
        <v>1</v>
      </c>
      <c r="J18" s="735">
        <f t="shared" si="1"/>
        <v>1</v>
      </c>
      <c r="L18" s="722">
        <f>SUM(L16:L17)</f>
        <v>20332.241264666209</v>
      </c>
      <c r="M18" s="722">
        <f t="shared" ref="M18" si="2">SUM(M16:M17)</f>
        <v>20494.899194783538</v>
      </c>
      <c r="N18" s="722">
        <f t="shared" ref="N18" si="3">SUM(N16:N17)</f>
        <v>20658.858388341807</v>
      </c>
      <c r="O18" s="722">
        <f t="shared" ref="O18" si="4">SUM(O16:O17)</f>
        <v>20824.129255448544</v>
      </c>
      <c r="P18" s="722">
        <f t="shared" ref="P18" si="5">SUM(P16:P17)</f>
        <v>20990.722289492132</v>
      </c>
      <c r="Q18" s="722">
        <f t="shared" ref="Q18" si="6">SUM(Q16:Q17)</f>
        <v>21158.64806780807</v>
      </c>
      <c r="R18" s="79"/>
    </row>
    <row r="19" spans="2:18" x14ac:dyDescent="0.25">
      <c r="B19" s="80"/>
      <c r="C19" s="348"/>
      <c r="D19" s="474"/>
      <c r="L19" s="274"/>
      <c r="R19" s="79"/>
    </row>
    <row r="20" spans="2:18" x14ac:dyDescent="0.25">
      <c r="B20" s="80"/>
      <c r="C20" s="73"/>
      <c r="E20" t="s">
        <v>874</v>
      </c>
      <c r="L20" s="73" t="s">
        <v>475</v>
      </c>
      <c r="R20" s="79"/>
    </row>
    <row r="21" spans="2:18" x14ac:dyDescent="0.25">
      <c r="B21" s="80"/>
      <c r="C21" s="73" t="s">
        <v>731</v>
      </c>
      <c r="D21" s="453"/>
      <c r="E21" s="349" t="s">
        <v>465</v>
      </c>
      <c r="F21" s="111" t="s">
        <v>466</v>
      </c>
      <c r="G21" s="111" t="s">
        <v>467</v>
      </c>
      <c r="H21" s="111" t="s">
        <v>468</v>
      </c>
      <c r="I21" s="485" t="s">
        <v>469</v>
      </c>
      <c r="J21" s="485" t="s">
        <v>470</v>
      </c>
      <c r="L21" s="612" t="s">
        <v>465</v>
      </c>
      <c r="M21" s="281" t="s">
        <v>466</v>
      </c>
      <c r="N21" s="111" t="s">
        <v>467</v>
      </c>
      <c r="O21" s="111" t="s">
        <v>468</v>
      </c>
      <c r="P21" s="485" t="s">
        <v>469</v>
      </c>
      <c r="Q21" s="485" t="s">
        <v>470</v>
      </c>
      <c r="R21" s="79"/>
    </row>
    <row r="22" spans="2:18" x14ac:dyDescent="0.25">
      <c r="B22" s="80"/>
      <c r="C22" s="1001" t="s">
        <v>729</v>
      </c>
      <c r="D22" s="1001"/>
      <c r="E22" s="720"/>
      <c r="F22" s="720"/>
      <c r="G22" s="720"/>
      <c r="H22" s="720"/>
      <c r="I22" s="720"/>
      <c r="J22" s="720"/>
      <c r="L22" s="720"/>
      <c r="M22" s="720"/>
      <c r="N22" s="720"/>
      <c r="O22" s="720"/>
      <c r="P22" s="720"/>
      <c r="Q22" s="720"/>
      <c r="R22" s="79"/>
    </row>
    <row r="23" spans="2:18" x14ac:dyDescent="0.25">
      <c r="B23" s="80"/>
      <c r="D23" s="628" t="s">
        <v>534</v>
      </c>
      <c r="E23" s="935">
        <v>7.4999999999999997E-2</v>
      </c>
      <c r="F23" s="936">
        <v>0.08</v>
      </c>
      <c r="G23" s="936">
        <v>8.5000000000000006E-2</v>
      </c>
      <c r="H23" s="936">
        <v>0.09</v>
      </c>
      <c r="I23" s="936">
        <v>9.5000000000000001E-2</v>
      </c>
      <c r="J23" s="936">
        <v>0.1</v>
      </c>
      <c r="K23" s="460"/>
      <c r="L23" s="282">
        <f>'Inputs and eligible population'!F48*E16*E23</f>
        <v>1372.4262853649691</v>
      </c>
      <c r="M23" s="282">
        <f>'Inputs and eligible population'!G48*F16*F23</f>
        <v>1475.6327420244147</v>
      </c>
      <c r="N23" s="282">
        <f>'Inputs and eligible population'!H48*G16*G23</f>
        <v>1580.4026667081484</v>
      </c>
      <c r="O23" s="282">
        <f>'Inputs and eligible population'!I48*H16*H23</f>
        <v>1686.7544696913321</v>
      </c>
      <c r="P23" s="282">
        <f>'Inputs and eligible population'!J48*I16*I23</f>
        <v>1794.7067557515775</v>
      </c>
      <c r="Q23" s="282">
        <f>'Inputs and eligible population'!K48*J16*J23</f>
        <v>1904.2783261027264</v>
      </c>
      <c r="R23" s="79"/>
    </row>
    <row r="24" spans="2:18" x14ac:dyDescent="0.25">
      <c r="B24" s="80"/>
      <c r="D24" s="628" t="s">
        <v>484</v>
      </c>
      <c r="E24" s="307">
        <f t="shared" ref="E24:J24" si="7">(100%-E23)*50%</f>
        <v>0.46250000000000002</v>
      </c>
      <c r="F24" s="307">
        <f t="shared" si="7"/>
        <v>0.46</v>
      </c>
      <c r="G24" s="307">
        <f t="shared" si="7"/>
        <v>0.45750000000000002</v>
      </c>
      <c r="H24" s="307">
        <f t="shared" si="7"/>
        <v>0.45500000000000002</v>
      </c>
      <c r="I24" s="307">
        <f t="shared" si="7"/>
        <v>0.45250000000000001</v>
      </c>
      <c r="J24" s="307">
        <f t="shared" si="7"/>
        <v>0.45</v>
      </c>
      <c r="L24" s="282">
        <f>'Inputs and eligible population'!F48*E16*E24</f>
        <v>8463.2954264173113</v>
      </c>
      <c r="M24" s="282">
        <f>'Inputs and eligible population'!G48*F16*F24</f>
        <v>8484.8882666403861</v>
      </c>
      <c r="N24" s="282">
        <f>'Inputs and eligible population'!H48*G16*G24</f>
        <v>8506.2849413997392</v>
      </c>
      <c r="O24" s="282">
        <f>'Inputs and eligible population'!I48*H16*H24</f>
        <v>8527.4809301061796</v>
      </c>
      <c r="P24" s="282">
        <f>'Inputs and eligible population'!J48*I16*I24</f>
        <v>8548.4716523956722</v>
      </c>
      <c r="Q24" s="282">
        <f>'Inputs and eligible population'!K48*J16*J24</f>
        <v>8569.2524674622691</v>
      </c>
      <c r="R24" s="79"/>
    </row>
    <row r="25" spans="2:18" x14ac:dyDescent="0.25">
      <c r="B25" s="80"/>
      <c r="D25" s="628" t="s">
        <v>867</v>
      </c>
      <c r="E25" s="769">
        <f t="shared" ref="E25:J25" si="8">100%-E24-E23</f>
        <v>0.46249999999999997</v>
      </c>
      <c r="F25" s="307">
        <f t="shared" si="8"/>
        <v>0.46</v>
      </c>
      <c r="G25" s="307">
        <f t="shared" si="8"/>
        <v>0.45749999999999996</v>
      </c>
      <c r="H25" s="307">
        <f t="shared" si="8"/>
        <v>0.45499999999999996</v>
      </c>
      <c r="I25" s="307">
        <f t="shared" si="8"/>
        <v>0.45250000000000001</v>
      </c>
      <c r="J25" s="307">
        <f t="shared" si="8"/>
        <v>0.45000000000000007</v>
      </c>
      <c r="L25" s="719">
        <f>'Inputs and eligible population'!F48*E16*E25</f>
        <v>8463.2954264173095</v>
      </c>
      <c r="M25" s="719">
        <f>'Inputs and eligible population'!G48*F16*F25</f>
        <v>8484.8882666403861</v>
      </c>
      <c r="N25" s="719">
        <f>'Inputs and eligible population'!H48*G16*G25</f>
        <v>8506.2849413997392</v>
      </c>
      <c r="O25" s="719">
        <f>'Inputs and eligible population'!I48*H16*H25</f>
        <v>8527.4809301061796</v>
      </c>
      <c r="P25" s="719">
        <f>'Inputs and eligible population'!J48*I16*I25</f>
        <v>8548.4716523956722</v>
      </c>
      <c r="Q25" s="719">
        <f>'Inputs and eligible population'!K48*J16*J25</f>
        <v>8569.2524674622691</v>
      </c>
      <c r="R25" s="79"/>
    </row>
    <row r="26" spans="2:18" x14ac:dyDescent="0.25">
      <c r="B26" s="80"/>
      <c r="D26" s="101"/>
      <c r="E26" s="724">
        <f>SUM(E23:E25)</f>
        <v>1</v>
      </c>
      <c r="F26" s="721">
        <f t="shared" ref="F26:J26" si="9">SUM(F23:F25)</f>
        <v>1</v>
      </c>
      <c r="G26" s="721">
        <f t="shared" si="9"/>
        <v>1</v>
      </c>
      <c r="H26" s="721">
        <f t="shared" si="9"/>
        <v>1</v>
      </c>
      <c r="I26" s="721">
        <f t="shared" si="9"/>
        <v>1</v>
      </c>
      <c r="J26" s="721">
        <f t="shared" si="9"/>
        <v>1</v>
      </c>
      <c r="K26" s="73"/>
      <c r="L26" s="722">
        <f>SUM(L23:L25)</f>
        <v>18299.01713819959</v>
      </c>
      <c r="M26" s="722">
        <f t="shared" ref="M26:Q26" si="10">SUM(M23:M25)</f>
        <v>18445.409275305188</v>
      </c>
      <c r="N26" s="722">
        <f t="shared" si="10"/>
        <v>18592.972549507627</v>
      </c>
      <c r="O26" s="722">
        <f t="shared" si="10"/>
        <v>18741.716329903691</v>
      </c>
      <c r="P26" s="722">
        <f t="shared" si="10"/>
        <v>18891.650060542925</v>
      </c>
      <c r="Q26" s="722">
        <f t="shared" si="10"/>
        <v>19042.783261027267</v>
      </c>
      <c r="R26" s="79"/>
    </row>
    <row r="27" spans="2:18" x14ac:dyDescent="0.25">
      <c r="B27" s="80"/>
      <c r="D27" s="186" t="s">
        <v>730</v>
      </c>
      <c r="E27" s="457"/>
      <c r="F27" s="454"/>
      <c r="G27" s="454"/>
      <c r="H27" s="454"/>
      <c r="I27" s="275"/>
      <c r="J27" s="455"/>
      <c r="L27" s="458"/>
      <c r="M27" s="456"/>
      <c r="N27" s="457"/>
      <c r="O27" s="457"/>
      <c r="P27" s="457"/>
      <c r="Q27" s="457"/>
      <c r="R27" s="79"/>
    </row>
    <row r="28" spans="2:18" x14ac:dyDescent="0.25">
      <c r="B28" s="80"/>
      <c r="D28" s="628" t="s">
        <v>534</v>
      </c>
      <c r="E28" s="307">
        <f>61.8%*0.5</f>
        <v>0.309</v>
      </c>
      <c r="F28" s="308">
        <f>(F17-E17)*50%+E28</f>
        <v>0.309</v>
      </c>
      <c r="G28" s="308">
        <f>(G17-F17)*50%+F28</f>
        <v>0.309</v>
      </c>
      <c r="H28" s="308">
        <f>(H17-G17)*50%+G28</f>
        <v>0.309</v>
      </c>
      <c r="I28" s="308">
        <f>(I17-H17)*50%+H28</f>
        <v>0.309</v>
      </c>
      <c r="J28" s="308">
        <f>(J17-I17)*50%+I28</f>
        <v>0.309</v>
      </c>
      <c r="L28" s="282">
        <f>'Inputs and eligible population'!F48*E17*E28</f>
        <v>628.26625507818574</v>
      </c>
      <c r="M28" s="282">
        <f>'Inputs and eligible population'!G48*F17*F28</f>
        <v>633.29238511881124</v>
      </c>
      <c r="N28" s="282">
        <f>'Inputs and eligible population'!H48*G17*G28</f>
        <v>638.35872419976158</v>
      </c>
      <c r="O28" s="282">
        <f>'Inputs and eligible population'!I48*H17*H28</f>
        <v>643.46559399335979</v>
      </c>
      <c r="P28" s="282">
        <f>'Inputs and eligible population'!J48*I17*I28</f>
        <v>648.61331874530674</v>
      </c>
      <c r="Q28" s="282">
        <f>'Inputs and eligible population'!K48*J17*J28</f>
        <v>653.8022252952693</v>
      </c>
      <c r="R28" s="79"/>
    </row>
    <row r="29" spans="2:18" x14ac:dyDescent="0.25">
      <c r="B29" s="80"/>
      <c r="D29" s="628" t="s">
        <v>484</v>
      </c>
      <c r="E29" s="307">
        <f>61.8%*0.5</f>
        <v>0.309</v>
      </c>
      <c r="F29" s="308">
        <f>(F17-E17)*50%+E29</f>
        <v>0.309</v>
      </c>
      <c r="G29" s="308">
        <f>(G17-F17)*50%+F29</f>
        <v>0.309</v>
      </c>
      <c r="H29" s="308">
        <f>(H17-G17)*50%+G29</f>
        <v>0.309</v>
      </c>
      <c r="I29" s="308">
        <f>(I17-H17)*50%+H29</f>
        <v>0.309</v>
      </c>
      <c r="J29" s="308">
        <f>(J17-I17)*50%+I29</f>
        <v>0.309</v>
      </c>
      <c r="L29" s="282">
        <f>'Inputs and eligible population'!F48*E17*E29</f>
        <v>628.26625507818574</v>
      </c>
      <c r="M29" s="282">
        <f>'Inputs and eligible population'!G48*F17*F29</f>
        <v>633.29238511881124</v>
      </c>
      <c r="N29" s="282">
        <f>'Inputs and eligible population'!H48*G17*G29</f>
        <v>638.35872419976158</v>
      </c>
      <c r="O29" s="282">
        <f>'Inputs and eligible population'!I48*H17*H29</f>
        <v>643.46559399335979</v>
      </c>
      <c r="P29" s="282">
        <f>'Inputs and eligible population'!J48*I17*I29</f>
        <v>648.61331874530674</v>
      </c>
      <c r="Q29" s="282">
        <f>'Inputs and eligible population'!K48*J17*J29</f>
        <v>653.8022252952693</v>
      </c>
      <c r="R29" s="79"/>
    </row>
    <row r="30" spans="2:18" ht="14.45" customHeight="1" x14ac:dyDescent="0.25">
      <c r="B30" s="80"/>
      <c r="D30" s="629" t="s">
        <v>851</v>
      </c>
      <c r="E30" s="718">
        <f t="shared" ref="E30:J30" si="11">100%-E29-E28</f>
        <v>0.38200000000000006</v>
      </c>
      <c r="F30" s="718">
        <f t="shared" si="11"/>
        <v>0.38200000000000006</v>
      </c>
      <c r="G30" s="718">
        <f t="shared" si="11"/>
        <v>0.38200000000000006</v>
      </c>
      <c r="H30" s="718">
        <f t="shared" si="11"/>
        <v>0.38200000000000006</v>
      </c>
      <c r="I30" s="718">
        <f t="shared" si="11"/>
        <v>0.38200000000000006</v>
      </c>
      <c r="J30" s="718">
        <f t="shared" si="11"/>
        <v>0.38200000000000006</v>
      </c>
      <c r="L30" s="719">
        <f>'Inputs and eligible population'!F48*E17*E30</f>
        <v>776.69161631024917</v>
      </c>
      <c r="M30" s="719">
        <f>'Inputs and eligible population'!G48*F17*F30</f>
        <v>782.90514924073113</v>
      </c>
      <c r="N30" s="719">
        <f>'Inputs and eligible population'!H48*G17*G30</f>
        <v>789.16839043465689</v>
      </c>
      <c r="O30" s="719">
        <f>'Inputs and eligible population'!I48*H17*H30</f>
        <v>795.48173755813423</v>
      </c>
      <c r="P30" s="719">
        <f>'Inputs and eligible population'!J48*I17*I30</f>
        <v>801.84559145859942</v>
      </c>
      <c r="Q30" s="719">
        <f>'Inputs and eligible population'!K48*J17*J30</f>
        <v>808.26035619026834</v>
      </c>
      <c r="R30" s="79"/>
    </row>
    <row r="31" spans="2:18" x14ac:dyDescent="0.25">
      <c r="B31" s="80"/>
      <c r="D31" s="186"/>
      <c r="E31" s="724">
        <f>SUM(E28:E30)</f>
        <v>1</v>
      </c>
      <c r="F31" s="721">
        <f t="shared" ref="F31" si="12">SUM(F28:F30)</f>
        <v>1</v>
      </c>
      <c r="G31" s="721">
        <f t="shared" ref="G31" si="13">SUM(G28:G30)</f>
        <v>1</v>
      </c>
      <c r="H31" s="721">
        <f t="shared" ref="H31" si="14">SUM(H28:H30)</f>
        <v>1</v>
      </c>
      <c r="I31" s="721">
        <f t="shared" ref="I31" si="15">SUM(I28:I30)</f>
        <v>1</v>
      </c>
      <c r="J31" s="721">
        <f t="shared" ref="J31" si="16">SUM(J28:J30)</f>
        <v>1</v>
      </c>
      <c r="K31" s="73"/>
      <c r="L31" s="722">
        <f>SUM(L28:L30)</f>
        <v>2033.2241264666206</v>
      </c>
      <c r="M31" s="722">
        <f>SUM(M28:M30)</f>
        <v>2049.4899194783538</v>
      </c>
      <c r="N31" s="722">
        <f>SUM(M28:M30)</f>
        <v>2049.4899194783538</v>
      </c>
      <c r="O31" s="722">
        <f t="shared" ref="O31" si="17">SUM(O28:O30)</f>
        <v>2082.4129255448538</v>
      </c>
      <c r="P31" s="722">
        <f t="shared" ref="P31" si="18">SUM(P28:P30)</f>
        <v>2099.0722289492128</v>
      </c>
      <c r="Q31" s="722">
        <f t="shared" ref="Q31" si="19">SUM(Q28:Q30)</f>
        <v>2115.8648067808072</v>
      </c>
      <c r="R31" s="79"/>
    </row>
    <row r="32" spans="2:18" x14ac:dyDescent="0.25">
      <c r="B32" s="80"/>
      <c r="D32" s="101"/>
      <c r="E32" s="435"/>
      <c r="F32" s="435"/>
      <c r="G32" s="435"/>
      <c r="H32" s="435"/>
      <c r="I32" s="435"/>
      <c r="J32" s="435"/>
      <c r="L32" s="236">
        <f>L26+L31</f>
        <v>20332.241264666209</v>
      </c>
      <c r="M32" s="236">
        <f>M26+N31</f>
        <v>20494.899194783542</v>
      </c>
      <c r="N32" s="236">
        <f>N26+N31</f>
        <v>20642.462468985981</v>
      </c>
      <c r="O32" s="236">
        <f t="shared" ref="O32:Q32" si="20">O26+O31</f>
        <v>20824.129255448544</v>
      </c>
      <c r="P32" s="236">
        <f t="shared" si="20"/>
        <v>20990.722289492136</v>
      </c>
      <c r="Q32" s="236">
        <f t="shared" si="20"/>
        <v>21158.648067808073</v>
      </c>
      <c r="R32" s="79"/>
    </row>
    <row r="33" spans="2:24" x14ac:dyDescent="0.25">
      <c r="B33" s="80"/>
      <c r="D33" s="444"/>
      <c r="E33" s="435"/>
      <c r="F33" s="435"/>
      <c r="G33" s="435"/>
      <c r="H33" s="905"/>
      <c r="I33" s="905"/>
      <c r="J33" s="905"/>
      <c r="K33" s="905"/>
      <c r="L33" s="905"/>
      <c r="M33" s="905"/>
      <c r="N33" s="905"/>
      <c r="O33" s="905"/>
      <c r="P33" s="905"/>
      <c r="Q33" s="905"/>
      <c r="R33" s="906"/>
      <c r="S33" s="905"/>
      <c r="T33" s="905"/>
      <c r="U33" s="905"/>
      <c r="V33" s="905"/>
      <c r="W33" s="905"/>
      <c r="X33" s="905"/>
    </row>
    <row r="34" spans="2:24" x14ac:dyDescent="0.25">
      <c r="B34" s="80"/>
      <c r="D34" s="101"/>
      <c r="E34" t="s">
        <v>874</v>
      </c>
      <c r="F34" s="432"/>
      <c r="G34" s="432"/>
      <c r="H34" s="432"/>
      <c r="I34" s="432"/>
      <c r="J34" s="432"/>
      <c r="L34" s="730" t="s">
        <v>476</v>
      </c>
      <c r="M34" s="430"/>
      <c r="N34" s="430"/>
      <c r="O34" s="430"/>
      <c r="P34" s="430"/>
      <c r="Q34" s="430"/>
      <c r="R34" s="79"/>
    </row>
    <row r="35" spans="2:24" x14ac:dyDescent="0.25">
      <c r="B35" s="80"/>
      <c r="C35" s="73" t="s">
        <v>733</v>
      </c>
      <c r="D35" s="459"/>
      <c r="E35" s="662" t="s">
        <v>465</v>
      </c>
      <c r="F35" s="281" t="s">
        <v>466</v>
      </c>
      <c r="G35" s="111" t="s">
        <v>467</v>
      </c>
      <c r="H35" s="111" t="s">
        <v>468</v>
      </c>
      <c r="I35" s="485" t="s">
        <v>469</v>
      </c>
      <c r="J35" s="476" t="s">
        <v>470</v>
      </c>
      <c r="L35" s="612" t="s">
        <v>465</v>
      </c>
      <c r="M35" s="433" t="s">
        <v>466</v>
      </c>
      <c r="N35" s="434" t="s">
        <v>467</v>
      </c>
      <c r="O35" s="434" t="s">
        <v>468</v>
      </c>
      <c r="P35" s="476" t="s">
        <v>469</v>
      </c>
      <c r="Q35" s="476" t="s">
        <v>470</v>
      </c>
      <c r="R35" s="79"/>
    </row>
    <row r="36" spans="2:24" x14ac:dyDescent="0.25">
      <c r="B36" s="80"/>
      <c r="D36" s="771" t="s">
        <v>732</v>
      </c>
      <c r="E36" s="431"/>
      <c r="F36" s="431"/>
      <c r="G36" s="431"/>
      <c r="H36" s="431"/>
      <c r="I36" s="431"/>
      <c r="J36" s="773"/>
      <c r="L36" s="430"/>
      <c r="M36" s="731"/>
      <c r="N36" s="731"/>
      <c r="O36" s="731"/>
      <c r="P36" s="731"/>
      <c r="Q36" s="731"/>
      <c r="R36" s="79"/>
    </row>
    <row r="37" spans="2:24" x14ac:dyDescent="0.25">
      <c r="B37" s="80"/>
      <c r="D37" s="770" t="s">
        <v>472</v>
      </c>
      <c r="E37" s="723">
        <f t="shared" ref="E37:J37" si="21">100%-E38</f>
        <v>0.92576000000000003</v>
      </c>
      <c r="F37" s="723">
        <f t="shared" si="21"/>
        <v>0.92576000000000003</v>
      </c>
      <c r="G37" s="723">
        <f t="shared" si="21"/>
        <v>0.92576000000000003</v>
      </c>
      <c r="H37" s="723">
        <f t="shared" si="21"/>
        <v>0.92576000000000003</v>
      </c>
      <c r="I37" s="723">
        <f t="shared" si="21"/>
        <v>0.92576000000000003</v>
      </c>
      <c r="J37" s="772">
        <f t="shared" si="21"/>
        <v>0.92576000000000003</v>
      </c>
      <c r="L37" s="276">
        <f>'Inputs and eligible population'!F52*E37</f>
        <v>374705.21597555198</v>
      </c>
      <c r="M37" s="276">
        <f>'Inputs and eligible population'!G52*F37</f>
        <v>377702.85770335642</v>
      </c>
      <c r="N37" s="276">
        <f>'Inputs and eligible population'!H52*G37</f>
        <v>380724.48056498333</v>
      </c>
      <c r="O37" s="276">
        <f>'Inputs and eligible population'!I52*H37</f>
        <v>383770.27640950319</v>
      </c>
      <c r="P37" s="276">
        <f>'Inputs and eligible population'!J52*I37</f>
        <v>386840.43862077926</v>
      </c>
      <c r="Q37" s="276">
        <f>'Inputs and eligible population'!K52*J37</f>
        <v>389935.16212974547</v>
      </c>
      <c r="R37" s="79"/>
    </row>
    <row r="38" spans="2:24" x14ac:dyDescent="0.25">
      <c r="B38" s="80"/>
      <c r="D38" s="126" t="s">
        <v>473</v>
      </c>
      <c r="E38" s="723">
        <f>'Inputs and eligible population'!F55*'Inputs and eligible population'!F56</f>
        <v>7.424E-2</v>
      </c>
      <c r="F38" s="723">
        <f>'Inputs and eligible population'!G55*'Inputs and eligible population'!G56</f>
        <v>7.424E-2</v>
      </c>
      <c r="G38" s="723">
        <f>'Inputs and eligible population'!H55*'Inputs and eligible population'!H56</f>
        <v>7.424E-2</v>
      </c>
      <c r="H38" s="723">
        <f>'Inputs and eligible population'!I55*'Inputs and eligible population'!I56</f>
        <v>7.424E-2</v>
      </c>
      <c r="I38" s="723">
        <f>'Inputs and eligible population'!J55*'Inputs and eligible population'!J56</f>
        <v>7.424E-2</v>
      </c>
      <c r="J38" s="723">
        <f>'Inputs and eligible population'!K55*'Inputs and eligible population'!K56</f>
        <v>7.424E-2</v>
      </c>
      <c r="L38" s="725">
        <f>'Inputs and eligible population'!F52*E38</f>
        <v>30048.949224447999</v>
      </c>
      <c r="M38" s="276">
        <f>'Inputs and eligible population'!G52*F38</f>
        <v>30289.340818243585</v>
      </c>
      <c r="N38" s="276">
        <f>'Inputs and eligible population'!H52*G38</f>
        <v>30531.655544789537</v>
      </c>
      <c r="O38" s="276">
        <f>'Inputs and eligible population'!I52*H38</f>
        <v>30775.908789147852</v>
      </c>
      <c r="P38" s="276">
        <f>'Inputs and eligible population'!J52*I38</f>
        <v>31022.116059461037</v>
      </c>
      <c r="Q38" s="276">
        <f>'Inputs and eligible population'!K52*J38</f>
        <v>31270.292987936726</v>
      </c>
      <c r="R38" s="79"/>
    </row>
    <row r="39" spans="2:24" x14ac:dyDescent="0.25">
      <c r="B39" s="80"/>
      <c r="D39" s="484"/>
      <c r="E39" s="724">
        <f>SUM(E37:E38)</f>
        <v>1</v>
      </c>
      <c r="F39" s="724">
        <f t="shared" ref="F39:J39" si="22">SUM(F37:F38)</f>
        <v>1</v>
      </c>
      <c r="G39" s="724">
        <f t="shared" si="22"/>
        <v>1</v>
      </c>
      <c r="H39" s="724">
        <f t="shared" si="22"/>
        <v>1</v>
      </c>
      <c r="I39" s="724">
        <f t="shared" si="22"/>
        <v>1</v>
      </c>
      <c r="J39" s="724">
        <f t="shared" si="22"/>
        <v>1</v>
      </c>
      <c r="L39" s="489">
        <f>SUM(L37:L38)</f>
        <v>404754.16519999999</v>
      </c>
      <c r="M39" s="489">
        <f t="shared" ref="M39:Q39" si="23">SUM(M37:M38)</f>
        <v>407992.19852159999</v>
      </c>
      <c r="N39" s="489">
        <f t="shared" si="23"/>
        <v>411256.13610977284</v>
      </c>
      <c r="O39" s="489">
        <f t="shared" si="23"/>
        <v>414546.18519865104</v>
      </c>
      <c r="P39" s="489">
        <f t="shared" si="23"/>
        <v>417862.55468024028</v>
      </c>
      <c r="Q39" s="489">
        <f t="shared" si="23"/>
        <v>421205.45511768217</v>
      </c>
      <c r="R39" s="79"/>
    </row>
    <row r="40" spans="2:24" x14ac:dyDescent="0.25">
      <c r="B40" s="80"/>
      <c r="E40" s="727"/>
      <c r="F40" s="727"/>
      <c r="G40" s="727"/>
      <c r="H40" s="727"/>
      <c r="I40" s="727"/>
      <c r="J40" s="727"/>
      <c r="L40" s="236"/>
      <c r="M40" s="236"/>
      <c r="N40" s="236"/>
      <c r="O40" s="236"/>
      <c r="P40" s="236"/>
      <c r="Q40" s="236"/>
      <c r="R40" s="79"/>
    </row>
    <row r="41" spans="2:24" x14ac:dyDescent="0.25">
      <c r="B41" s="80"/>
      <c r="C41" s="73"/>
      <c r="E41" t="s">
        <v>874</v>
      </c>
      <c r="L41" s="73"/>
      <c r="R41" s="79"/>
    </row>
    <row r="42" spans="2:24" ht="30.6" customHeight="1" x14ac:dyDescent="0.25">
      <c r="B42" s="80"/>
      <c r="C42" s="73" t="s">
        <v>733</v>
      </c>
      <c r="E42" s="612" t="s">
        <v>465</v>
      </c>
      <c r="F42" s="281" t="s">
        <v>466</v>
      </c>
      <c r="G42" s="111" t="s">
        <v>467</v>
      </c>
      <c r="H42" s="111" t="s">
        <v>468</v>
      </c>
      <c r="I42" s="485" t="s">
        <v>469</v>
      </c>
      <c r="J42" s="485" t="s">
        <v>470</v>
      </c>
      <c r="L42" s="612" t="s">
        <v>465</v>
      </c>
      <c r="M42" s="433" t="s">
        <v>466</v>
      </c>
      <c r="N42" s="434" t="s">
        <v>467</v>
      </c>
      <c r="O42" s="434" t="s">
        <v>468</v>
      </c>
      <c r="P42" s="476" t="s">
        <v>469</v>
      </c>
      <c r="Q42" s="476" t="s">
        <v>470</v>
      </c>
      <c r="R42" s="79"/>
    </row>
    <row r="43" spans="2:24" x14ac:dyDescent="0.25">
      <c r="B43" s="80"/>
      <c r="C43" s="73"/>
      <c r="D43" s="186" t="s">
        <v>729</v>
      </c>
      <c r="E43" s="729"/>
      <c r="F43" s="454"/>
      <c r="G43" s="454"/>
      <c r="H43" s="454"/>
      <c r="I43" s="275"/>
      <c r="J43" s="275"/>
      <c r="L43" s="280"/>
      <c r="M43" s="728"/>
      <c r="N43" s="454"/>
      <c r="O43" s="454"/>
      <c r="P43" s="275"/>
      <c r="Q43" s="275"/>
      <c r="R43" s="79"/>
    </row>
    <row r="44" spans="2:24" x14ac:dyDescent="0.25">
      <c r="B44" s="80"/>
      <c r="D44" s="629" t="s">
        <v>534</v>
      </c>
      <c r="E44" s="937">
        <v>7.4999999999999997E-2</v>
      </c>
      <c r="F44" s="937">
        <v>0.08</v>
      </c>
      <c r="G44" s="937">
        <v>8.5000000000000006E-2</v>
      </c>
      <c r="H44" s="937">
        <v>0.09</v>
      </c>
      <c r="I44" s="937">
        <v>9.5000000000000001E-2</v>
      </c>
      <c r="J44" s="937">
        <v>0.1</v>
      </c>
      <c r="L44" s="276">
        <f t="shared" ref="L44:Q44" si="24">L37*E44</f>
        <v>28102.891198166399</v>
      </c>
      <c r="M44" s="276">
        <f t="shared" si="24"/>
        <v>30216.228616268516</v>
      </c>
      <c r="N44" s="276">
        <f t="shared" si="24"/>
        <v>32361.580848023586</v>
      </c>
      <c r="O44" s="276">
        <f t="shared" si="24"/>
        <v>34539.324876855288</v>
      </c>
      <c r="P44" s="276">
        <f t="shared" si="24"/>
        <v>36749.841668974026</v>
      </c>
      <c r="Q44" s="276">
        <f t="shared" si="24"/>
        <v>38993.516212974551</v>
      </c>
      <c r="R44" s="79"/>
    </row>
    <row r="45" spans="2:24" x14ac:dyDescent="0.25">
      <c r="B45" s="80"/>
      <c r="D45" s="726" t="s">
        <v>484</v>
      </c>
      <c r="E45" s="718">
        <f t="shared" ref="E45:J45" si="25">(100%-E44)*50%</f>
        <v>0.46250000000000002</v>
      </c>
      <c r="F45" s="718">
        <f t="shared" si="25"/>
        <v>0.46</v>
      </c>
      <c r="G45" s="718">
        <f t="shared" si="25"/>
        <v>0.45750000000000002</v>
      </c>
      <c r="H45" s="718">
        <f t="shared" si="25"/>
        <v>0.45500000000000002</v>
      </c>
      <c r="I45" s="718">
        <f t="shared" si="25"/>
        <v>0.45250000000000001</v>
      </c>
      <c r="J45" s="718">
        <f t="shared" si="25"/>
        <v>0.45</v>
      </c>
      <c r="L45" s="725">
        <f t="shared" ref="L45:Q45" si="26">L37*E45</f>
        <v>173301.16238869281</v>
      </c>
      <c r="M45" s="725">
        <f t="shared" si="26"/>
        <v>173743.31454354397</v>
      </c>
      <c r="N45" s="725">
        <f t="shared" si="26"/>
        <v>174181.44985847987</v>
      </c>
      <c r="O45" s="725">
        <f t="shared" si="26"/>
        <v>174615.47576632394</v>
      </c>
      <c r="P45" s="725">
        <f t="shared" si="26"/>
        <v>175045.29847590261</v>
      </c>
      <c r="Q45" s="725">
        <f t="shared" si="26"/>
        <v>175470.82295838546</v>
      </c>
      <c r="R45" s="79"/>
    </row>
    <row r="46" spans="2:24" x14ac:dyDescent="0.25">
      <c r="B46" s="80"/>
      <c r="D46" s="629" t="s">
        <v>851</v>
      </c>
      <c r="E46" s="723">
        <f t="shared" ref="E46:J46" si="27">(100%-E44)*50%</f>
        <v>0.46250000000000002</v>
      </c>
      <c r="F46" s="723">
        <f t="shared" si="27"/>
        <v>0.46</v>
      </c>
      <c r="G46" s="723">
        <f t="shared" si="27"/>
        <v>0.45750000000000002</v>
      </c>
      <c r="H46" s="723">
        <f t="shared" si="27"/>
        <v>0.45500000000000002</v>
      </c>
      <c r="I46" s="723">
        <f t="shared" si="27"/>
        <v>0.45250000000000001</v>
      </c>
      <c r="J46" s="723">
        <f t="shared" si="27"/>
        <v>0.45</v>
      </c>
      <c r="L46" s="488">
        <f t="shared" ref="L46:Q46" si="28">L37*E46</f>
        <v>173301.16238869281</v>
      </c>
      <c r="M46" s="488">
        <f t="shared" si="28"/>
        <v>173743.31454354397</v>
      </c>
      <c r="N46" s="488">
        <f t="shared" si="28"/>
        <v>174181.44985847987</v>
      </c>
      <c r="O46" s="488">
        <f t="shared" si="28"/>
        <v>174615.47576632394</v>
      </c>
      <c r="P46" s="488">
        <f t="shared" si="28"/>
        <v>175045.29847590261</v>
      </c>
      <c r="Q46" s="488">
        <f t="shared" si="28"/>
        <v>175470.82295838546</v>
      </c>
      <c r="R46" s="79"/>
    </row>
    <row r="47" spans="2:24" x14ac:dyDescent="0.25">
      <c r="B47" s="80"/>
      <c r="D47" s="629"/>
      <c r="E47" s="724">
        <f>SUM(E44:E46)</f>
        <v>1</v>
      </c>
      <c r="F47" s="724">
        <f t="shared" ref="F47:J47" si="29">SUM(F44:F46)</f>
        <v>1</v>
      </c>
      <c r="G47" s="724">
        <f t="shared" si="29"/>
        <v>1</v>
      </c>
      <c r="H47" s="724">
        <f t="shared" si="29"/>
        <v>1</v>
      </c>
      <c r="I47" s="724">
        <f t="shared" si="29"/>
        <v>1</v>
      </c>
      <c r="J47" s="724">
        <f t="shared" si="29"/>
        <v>1</v>
      </c>
      <c r="L47" s="722">
        <f>SUM(L44:L46)</f>
        <v>374705.21597555198</v>
      </c>
      <c r="M47" s="722">
        <f t="shared" ref="M47:Q47" si="30">SUM(M44:M46)</f>
        <v>377702.85770335642</v>
      </c>
      <c r="N47" s="722">
        <f t="shared" si="30"/>
        <v>380724.48056498333</v>
      </c>
      <c r="O47" s="722">
        <f t="shared" si="30"/>
        <v>383770.27640950319</v>
      </c>
      <c r="P47" s="722">
        <f t="shared" si="30"/>
        <v>386840.43862077926</v>
      </c>
      <c r="Q47" s="722">
        <f t="shared" si="30"/>
        <v>389935.16212974547</v>
      </c>
      <c r="R47" s="79"/>
    </row>
    <row r="48" spans="2:24" x14ac:dyDescent="0.25">
      <c r="B48" s="80"/>
      <c r="D48" s="186" t="s">
        <v>730</v>
      </c>
      <c r="E48" s="435"/>
      <c r="F48" s="435"/>
      <c r="G48" s="435"/>
      <c r="H48" s="435"/>
      <c r="I48" s="435"/>
      <c r="J48" s="435"/>
      <c r="L48" s="236"/>
      <c r="M48" s="236"/>
      <c r="N48" s="236"/>
      <c r="O48" s="236"/>
      <c r="P48" s="236"/>
      <c r="Q48" s="236"/>
      <c r="R48" s="79"/>
    </row>
    <row r="49" spans="2:18" x14ac:dyDescent="0.25">
      <c r="B49" s="80"/>
      <c r="D49" s="768" t="s">
        <v>534</v>
      </c>
      <c r="E49" s="723">
        <f t="shared" ref="E49:J49" si="31">E28</f>
        <v>0.309</v>
      </c>
      <c r="F49" s="723">
        <f t="shared" si="31"/>
        <v>0.309</v>
      </c>
      <c r="G49" s="723">
        <f t="shared" si="31"/>
        <v>0.309</v>
      </c>
      <c r="H49" s="723">
        <f t="shared" si="31"/>
        <v>0.309</v>
      </c>
      <c r="I49" s="723">
        <f t="shared" si="31"/>
        <v>0.309</v>
      </c>
      <c r="J49" s="723">
        <f t="shared" si="31"/>
        <v>0.309</v>
      </c>
      <c r="L49" s="488">
        <f t="shared" ref="L49:Q49" si="32">L38*E49</f>
        <v>9285.1253103544313</v>
      </c>
      <c r="M49" s="488">
        <f t="shared" si="32"/>
        <v>9359.4063128372673</v>
      </c>
      <c r="N49" s="488">
        <f t="shared" si="32"/>
        <v>9434.2815633399678</v>
      </c>
      <c r="O49" s="488">
        <f t="shared" si="32"/>
        <v>9509.7558158466854</v>
      </c>
      <c r="P49" s="488">
        <f t="shared" si="32"/>
        <v>9585.8338623734599</v>
      </c>
      <c r="Q49" s="488">
        <f t="shared" si="32"/>
        <v>9662.520533272449</v>
      </c>
      <c r="R49" s="79"/>
    </row>
    <row r="50" spans="2:18" x14ac:dyDescent="0.25">
      <c r="B50" s="80"/>
      <c r="D50" s="108" t="s">
        <v>484</v>
      </c>
      <c r="E50" s="723">
        <f t="shared" ref="E50:J50" si="33">(100%-E49)*50%</f>
        <v>0.34550000000000003</v>
      </c>
      <c r="F50" s="723">
        <f t="shared" si="33"/>
        <v>0.34550000000000003</v>
      </c>
      <c r="G50" s="723">
        <f t="shared" si="33"/>
        <v>0.34550000000000003</v>
      </c>
      <c r="H50" s="723">
        <f t="shared" si="33"/>
        <v>0.34550000000000003</v>
      </c>
      <c r="I50" s="723">
        <f t="shared" si="33"/>
        <v>0.34550000000000003</v>
      </c>
      <c r="J50" s="723">
        <f t="shared" si="33"/>
        <v>0.34550000000000003</v>
      </c>
      <c r="L50" s="282">
        <f t="shared" ref="L50:Q50" si="34">L38*E50</f>
        <v>10381.911957046785</v>
      </c>
      <c r="M50" s="282">
        <f t="shared" si="34"/>
        <v>10464.96725270316</v>
      </c>
      <c r="N50" s="282">
        <f t="shared" si="34"/>
        <v>10548.686990724786</v>
      </c>
      <c r="O50" s="282">
        <f t="shared" si="34"/>
        <v>10633.076486650583</v>
      </c>
      <c r="P50" s="282">
        <f t="shared" si="34"/>
        <v>10718.141098543789</v>
      </c>
      <c r="Q50" s="282">
        <f t="shared" si="34"/>
        <v>10803.886227332139</v>
      </c>
      <c r="R50" s="79"/>
    </row>
    <row r="51" spans="2:18" x14ac:dyDescent="0.25">
      <c r="B51" s="80"/>
      <c r="D51" s="629" t="s">
        <v>851</v>
      </c>
      <c r="E51" s="723">
        <f t="shared" ref="E51:J51" si="35">(100%-E49)*50%</f>
        <v>0.34550000000000003</v>
      </c>
      <c r="F51" s="723">
        <f t="shared" si="35"/>
        <v>0.34550000000000003</v>
      </c>
      <c r="G51" s="723">
        <f t="shared" si="35"/>
        <v>0.34550000000000003</v>
      </c>
      <c r="H51" s="723">
        <f t="shared" si="35"/>
        <v>0.34550000000000003</v>
      </c>
      <c r="I51" s="723">
        <f t="shared" si="35"/>
        <v>0.34550000000000003</v>
      </c>
      <c r="J51" s="723">
        <f t="shared" si="35"/>
        <v>0.34550000000000003</v>
      </c>
      <c r="L51" s="276">
        <f t="shared" ref="L51:Q51" si="36">L38*E51</f>
        <v>10381.911957046785</v>
      </c>
      <c r="M51" s="276">
        <f t="shared" si="36"/>
        <v>10464.96725270316</v>
      </c>
      <c r="N51" s="276">
        <f t="shared" si="36"/>
        <v>10548.686990724786</v>
      </c>
      <c r="O51" s="276">
        <f t="shared" si="36"/>
        <v>10633.076486650583</v>
      </c>
      <c r="P51" s="276">
        <f t="shared" si="36"/>
        <v>10718.141098543789</v>
      </c>
      <c r="Q51" s="276">
        <f t="shared" si="36"/>
        <v>10803.886227332139</v>
      </c>
      <c r="R51" s="79"/>
    </row>
    <row r="52" spans="2:18" x14ac:dyDescent="0.25">
      <c r="B52" s="80"/>
      <c r="D52" s="631" t="s">
        <v>760</v>
      </c>
      <c r="E52" s="435"/>
      <c r="F52" s="435"/>
      <c r="G52" s="435"/>
      <c r="H52" s="435"/>
      <c r="I52" s="435"/>
      <c r="J52" s="435"/>
      <c r="L52" s="722">
        <f>SUM(L49:L51)</f>
        <v>30048.949224448002</v>
      </c>
      <c r="M52" s="722">
        <f t="shared" ref="M52:Q52" si="37">SUM(M49:M51)</f>
        <v>30289.340818243589</v>
      </c>
      <c r="N52" s="722">
        <f t="shared" si="37"/>
        <v>30531.655544789541</v>
      </c>
      <c r="O52" s="722">
        <f t="shared" si="37"/>
        <v>30775.908789147856</v>
      </c>
      <c r="P52" s="722">
        <f t="shared" si="37"/>
        <v>31022.116059461041</v>
      </c>
      <c r="Q52" s="722">
        <f t="shared" si="37"/>
        <v>31270.292987936726</v>
      </c>
      <c r="R52" s="79"/>
    </row>
    <row r="53" spans="2:18" x14ac:dyDescent="0.25">
      <c r="B53" s="80"/>
      <c r="D53" s="101"/>
      <c r="E53" s="435"/>
      <c r="F53" s="435"/>
      <c r="G53" s="435"/>
      <c r="H53" s="435"/>
      <c r="I53" s="435"/>
      <c r="J53" s="435"/>
      <c r="L53" s="236">
        <f>L47+L52</f>
        <v>404754.16519999999</v>
      </c>
      <c r="M53" s="236">
        <f t="shared" ref="M53:Q53" si="38">M47+M52</f>
        <v>407992.19852159999</v>
      </c>
      <c r="N53" s="236">
        <f t="shared" si="38"/>
        <v>411256.13610977289</v>
      </c>
      <c r="O53" s="236">
        <f t="shared" si="38"/>
        <v>414546.18519865104</v>
      </c>
      <c r="P53" s="236">
        <f t="shared" si="38"/>
        <v>417862.55468024028</v>
      </c>
      <c r="Q53" s="236">
        <f t="shared" si="38"/>
        <v>421205.45511768217</v>
      </c>
      <c r="R53" s="79"/>
    </row>
    <row r="54" spans="2:18" x14ac:dyDescent="0.25">
      <c r="B54" s="80"/>
      <c r="C54" s="73" t="s">
        <v>766</v>
      </c>
      <c r="E54" s="263"/>
      <c r="F54" s="263"/>
      <c r="G54" s="263"/>
      <c r="H54" s="263"/>
      <c r="I54" s="263"/>
      <c r="J54" s="263"/>
      <c r="R54" s="79"/>
    </row>
    <row r="55" spans="2:18" x14ac:dyDescent="0.25">
      <c r="B55" s="80"/>
      <c r="C55" t="s">
        <v>765</v>
      </c>
      <c r="E55" s="263"/>
      <c r="F55" s="263"/>
      <c r="G55" s="263"/>
      <c r="H55" s="263"/>
      <c r="I55" s="263"/>
      <c r="J55" s="263"/>
      <c r="R55" s="79"/>
    </row>
    <row r="56" spans="2:18" ht="30" x14ac:dyDescent="0.25">
      <c r="B56" s="80"/>
      <c r="E56" s="349" t="s">
        <v>477</v>
      </c>
      <c r="F56" s="111" t="s">
        <v>466</v>
      </c>
      <c r="G56" s="111" t="s">
        <v>467</v>
      </c>
      <c r="H56" s="111" t="s">
        <v>468</v>
      </c>
      <c r="I56" s="485" t="s">
        <v>469</v>
      </c>
      <c r="J56" s="485" t="s">
        <v>470</v>
      </c>
      <c r="L56" s="349" t="s">
        <v>477</v>
      </c>
      <c r="M56" s="111" t="s">
        <v>466</v>
      </c>
      <c r="N56" s="111" t="s">
        <v>467</v>
      </c>
      <c r="O56" s="111" t="s">
        <v>468</v>
      </c>
      <c r="P56" s="485" t="s">
        <v>469</v>
      </c>
      <c r="Q56" s="485" t="s">
        <v>470</v>
      </c>
      <c r="R56" s="79"/>
    </row>
    <row r="57" spans="2:18" ht="30" customHeight="1" x14ac:dyDescent="0.25">
      <c r="B57" s="80"/>
      <c r="D57" s="482" t="s">
        <v>491</v>
      </c>
      <c r="E57" s="405"/>
      <c r="F57" s="308">
        <v>-0.1</v>
      </c>
      <c r="G57" s="308">
        <v>-0.15</v>
      </c>
      <c r="H57" s="308">
        <v>-0.2</v>
      </c>
      <c r="I57" s="308">
        <v>-0.25</v>
      </c>
      <c r="J57" s="308">
        <v>-0.3</v>
      </c>
      <c r="L57" s="421"/>
      <c r="M57" s="350">
        <f>M47*F57</f>
        <v>-37770.285770335642</v>
      </c>
      <c r="N57" s="350">
        <f t="shared" ref="N57:Q57" si="39">N47*G57</f>
        <v>-57108.672084747501</v>
      </c>
      <c r="O57" s="350">
        <f t="shared" si="39"/>
        <v>-76754.055281900641</v>
      </c>
      <c r="P57" s="350">
        <f t="shared" si="39"/>
        <v>-96710.109655194814</v>
      </c>
      <c r="Q57" s="350">
        <f t="shared" si="39"/>
        <v>-116980.54863892363</v>
      </c>
      <c r="R57" s="79"/>
    </row>
    <row r="58" spans="2:18" x14ac:dyDescent="0.25">
      <c r="B58" s="80"/>
      <c r="E58" s="630"/>
      <c r="F58" s="630">
        <f>F57</f>
        <v>-0.1</v>
      </c>
      <c r="G58" s="630">
        <f>G57</f>
        <v>-0.15</v>
      </c>
      <c r="H58" s="630">
        <f>H57</f>
        <v>-0.2</v>
      </c>
      <c r="I58" s="630">
        <f>I57</f>
        <v>-0.25</v>
      </c>
      <c r="J58" s="630">
        <f>J57</f>
        <v>-0.3</v>
      </c>
      <c r="L58" s="487">
        <f t="shared" ref="L58:Q58" si="40">SUM(L57:L57)</f>
        <v>0</v>
      </c>
      <c r="M58" s="487">
        <f t="shared" si="40"/>
        <v>-37770.285770335642</v>
      </c>
      <c r="N58" s="487">
        <f t="shared" si="40"/>
        <v>-57108.672084747501</v>
      </c>
      <c r="O58" s="487">
        <f t="shared" si="40"/>
        <v>-76754.055281900641</v>
      </c>
      <c r="P58" s="487">
        <f t="shared" si="40"/>
        <v>-96710.109655194814</v>
      </c>
      <c r="Q58" s="487">
        <f t="shared" si="40"/>
        <v>-116980.54863892363</v>
      </c>
      <c r="R58" s="79"/>
    </row>
    <row r="59" spans="2:18" x14ac:dyDescent="0.25">
      <c r="B59" s="80"/>
      <c r="E59" s="435"/>
      <c r="F59" s="435"/>
      <c r="G59" s="435"/>
      <c r="H59" s="435"/>
      <c r="I59" s="435"/>
      <c r="J59" s="435"/>
      <c r="L59" s="481"/>
      <c r="M59" s="481"/>
      <c r="N59" s="481"/>
      <c r="O59" s="481"/>
      <c r="P59" s="481"/>
      <c r="Q59" s="481"/>
      <c r="R59" s="79"/>
    </row>
    <row r="60" spans="2:18" x14ac:dyDescent="0.25">
      <c r="B60" s="80"/>
      <c r="C60" s="73" t="s">
        <v>793</v>
      </c>
      <c r="E60" s="263"/>
      <c r="F60" s="263"/>
      <c r="G60" s="263"/>
      <c r="H60" s="263"/>
      <c r="I60" s="263"/>
      <c r="J60" s="263"/>
      <c r="L60" s="486"/>
      <c r="M60" s="500"/>
      <c r="N60" s="500" t="s">
        <v>802</v>
      </c>
      <c r="O60" s="236"/>
      <c r="P60" s="236"/>
      <c r="Q60" s="236"/>
      <c r="R60" s="79"/>
    </row>
    <row r="61" spans="2:18" ht="30" x14ac:dyDescent="0.25">
      <c r="B61" s="80"/>
      <c r="E61" s="349" t="s">
        <v>477</v>
      </c>
      <c r="F61" s="111" t="s">
        <v>466</v>
      </c>
      <c r="G61" s="111" t="s">
        <v>467</v>
      </c>
      <c r="H61" s="111" t="s">
        <v>468</v>
      </c>
      <c r="I61" s="485" t="s">
        <v>469</v>
      </c>
      <c r="J61" s="485" t="s">
        <v>470</v>
      </c>
      <c r="L61" s="349" t="s">
        <v>477</v>
      </c>
      <c r="M61" s="111" t="s">
        <v>466</v>
      </c>
      <c r="N61" s="111" t="s">
        <v>467</v>
      </c>
      <c r="O61" s="111" t="s">
        <v>468</v>
      </c>
      <c r="P61" s="485" t="s">
        <v>469</v>
      </c>
      <c r="Q61" s="485" t="s">
        <v>470</v>
      </c>
      <c r="R61" s="79"/>
    </row>
    <row r="62" spans="2:18" x14ac:dyDescent="0.25">
      <c r="B62" s="80"/>
      <c r="D62" s="74" t="s">
        <v>759</v>
      </c>
      <c r="E62" s="405"/>
      <c r="F62" s="308">
        <v>0.1</v>
      </c>
      <c r="G62" s="308">
        <v>0.15</v>
      </c>
      <c r="H62" s="308">
        <v>0.2</v>
      </c>
      <c r="I62" s="308">
        <v>0.2</v>
      </c>
      <c r="J62" s="308">
        <v>0.2</v>
      </c>
      <c r="L62" s="421"/>
      <c r="M62" s="749">
        <f>'Inputs and eligible population'!G47*F62</f>
        <v>2049.4899194783538</v>
      </c>
      <c r="N62" s="749">
        <f>'Inputs and eligible population'!H47*G62</f>
        <v>3098.8287582512708</v>
      </c>
      <c r="O62" s="749">
        <f>'Inputs and eligible population'!I47*H62</f>
        <v>4164.8258510897094</v>
      </c>
      <c r="P62" s="749">
        <f>'Inputs and eligible population'!J47*I62</f>
        <v>4198.1444578984265</v>
      </c>
      <c r="Q62" s="749">
        <f>'Inputs and eligible population'!K47*J62</f>
        <v>4231.7296135616143</v>
      </c>
      <c r="R62" s="79"/>
    </row>
    <row r="63" spans="2:18" x14ac:dyDescent="0.25">
      <c r="B63" s="80"/>
      <c r="E63" s="435"/>
      <c r="F63" s="435"/>
      <c r="G63" s="435"/>
      <c r="H63" s="435"/>
      <c r="I63" s="435"/>
      <c r="J63" s="435"/>
      <c r="L63" s="747"/>
      <c r="M63" s="747"/>
      <c r="N63" s="747"/>
      <c r="O63" s="747"/>
      <c r="P63" s="747"/>
      <c r="Q63" s="747"/>
      <c r="R63" s="79"/>
    </row>
    <row r="64" spans="2:18" x14ac:dyDescent="0.25">
      <c r="B64" s="80"/>
      <c r="D64" s="74" t="s">
        <v>792</v>
      </c>
      <c r="E64" s="849"/>
      <c r="F64" s="792">
        <v>0.9</v>
      </c>
      <c r="G64" s="792">
        <v>0.9</v>
      </c>
      <c r="H64" s="792">
        <v>0.9</v>
      </c>
      <c r="I64" s="792">
        <v>0.9</v>
      </c>
      <c r="J64" s="792">
        <v>0.9</v>
      </c>
      <c r="L64" s="848"/>
      <c r="M64" s="748">
        <f>M62*F64</f>
        <v>1844.5409275305185</v>
      </c>
      <c r="N64" s="748">
        <f>N62*G64</f>
        <v>2788.9458824261437</v>
      </c>
      <c r="O64" s="748">
        <f>O62*H64</f>
        <v>3748.3432659807386</v>
      </c>
      <c r="P64" s="748">
        <f>P62*I64</f>
        <v>3778.330012108584</v>
      </c>
      <c r="Q64" s="748">
        <f>Q62*J64</f>
        <v>3808.5566522054528</v>
      </c>
      <c r="R64" s="79"/>
    </row>
    <row r="65" spans="2:18" x14ac:dyDescent="0.25">
      <c r="B65" s="80"/>
      <c r="D65" s="74"/>
      <c r="E65" s="435"/>
      <c r="F65" s="435"/>
      <c r="G65" s="435"/>
      <c r="H65" s="435"/>
      <c r="I65" s="435"/>
      <c r="J65" s="435"/>
      <c r="R65" s="79"/>
    </row>
    <row r="66" spans="2:18" x14ac:dyDescent="0.25">
      <c r="B66" s="80"/>
      <c r="C66" s="73" t="s">
        <v>485</v>
      </c>
      <c r="D66" s="101"/>
      <c r="E66" s="435"/>
      <c r="F66" s="435"/>
      <c r="G66" s="435"/>
      <c r="H66" s="435"/>
      <c r="I66" s="435"/>
      <c r="J66" s="435"/>
      <c r="L66" s="236"/>
      <c r="M66" s="236"/>
      <c r="N66" s="236"/>
      <c r="O66" s="236"/>
      <c r="P66" s="236"/>
      <c r="Q66" s="236"/>
      <c r="R66" s="79"/>
    </row>
    <row r="67" spans="2:18" x14ac:dyDescent="0.25">
      <c r="B67" s="80"/>
      <c r="C67" s="410"/>
      <c r="D67" s="320" t="s">
        <v>935</v>
      </c>
      <c r="E67" s="432"/>
      <c r="F67" s="432"/>
      <c r="G67" s="432"/>
      <c r="H67" s="432"/>
      <c r="I67" s="432"/>
      <c r="J67" s="432"/>
      <c r="L67" s="730"/>
      <c r="M67" s="236"/>
      <c r="N67" s="236"/>
      <c r="O67" s="236"/>
      <c r="P67" s="236"/>
      <c r="Q67" s="236"/>
      <c r="R67" s="79"/>
    </row>
    <row r="68" spans="2:18" x14ac:dyDescent="0.25">
      <c r="B68" s="80"/>
      <c r="C68" t="s">
        <v>767</v>
      </c>
      <c r="D68" s="631" t="s">
        <v>875</v>
      </c>
      <c r="E68" s="307">
        <v>0.1</v>
      </c>
      <c r="F68" s="308">
        <v>0.15</v>
      </c>
      <c r="G68" s="308">
        <v>0.2</v>
      </c>
      <c r="H68" s="308">
        <v>0.25</v>
      </c>
      <c r="I68" s="308">
        <v>0.3</v>
      </c>
      <c r="J68" s="308">
        <v>0.35</v>
      </c>
      <c r="L68" s="236"/>
      <c r="M68" s="236"/>
      <c r="N68" s="236"/>
      <c r="O68" s="236"/>
      <c r="P68" s="236"/>
      <c r="Q68" s="236"/>
      <c r="R68" s="79"/>
    </row>
    <row r="69" spans="2:18" x14ac:dyDescent="0.25">
      <c r="B69" s="81"/>
      <c r="C69" s="82"/>
      <c r="D69" s="82"/>
      <c r="E69" s="846"/>
      <c r="F69" s="846"/>
      <c r="G69" s="846"/>
      <c r="H69" s="846"/>
      <c r="I69" s="846"/>
      <c r="J69" s="846"/>
      <c r="K69" s="82"/>
      <c r="L69" s="847"/>
      <c r="M69" s="847"/>
      <c r="N69" s="847"/>
      <c r="O69" s="847"/>
      <c r="P69" s="847"/>
      <c r="Q69" s="847"/>
      <c r="R69" s="83"/>
    </row>
    <row r="70" spans="2:18" x14ac:dyDescent="0.25">
      <c r="B70" s="80"/>
      <c r="C70" s="107" t="s">
        <v>478</v>
      </c>
      <c r="E70" s="435"/>
      <c r="F70" s="435"/>
      <c r="G70" s="435"/>
      <c r="H70" s="435"/>
      <c r="I70" s="435"/>
      <c r="J70" s="435"/>
      <c r="L70" s="481"/>
      <c r="M70" s="481"/>
      <c r="N70" s="481"/>
      <c r="O70" s="481"/>
      <c r="P70" s="481"/>
      <c r="Q70" s="481"/>
      <c r="R70" s="79"/>
    </row>
    <row r="71" spans="2:18" x14ac:dyDescent="0.25">
      <c r="B71" s="80"/>
      <c r="C71" s="101" t="s">
        <v>883</v>
      </c>
      <c r="E71" s="435"/>
      <c r="F71" s="435"/>
      <c r="G71" s="435"/>
      <c r="H71" s="435"/>
      <c r="I71" s="435"/>
      <c r="J71" s="435"/>
      <c r="L71" s="481"/>
      <c r="M71" s="481"/>
      <c r="N71" s="481"/>
      <c r="O71" s="481"/>
      <c r="P71" s="481"/>
      <c r="Q71" s="481"/>
      <c r="R71" s="79"/>
    </row>
    <row r="72" spans="2:18" x14ac:dyDescent="0.25">
      <c r="B72" s="80"/>
      <c r="C72" t="s">
        <v>479</v>
      </c>
      <c r="D72" s="410"/>
      <c r="E72" s="410"/>
      <c r="F72" s="410"/>
      <c r="G72" s="410"/>
      <c r="H72" s="410"/>
      <c r="I72" s="410"/>
      <c r="J72" s="435"/>
      <c r="L72" s="481"/>
      <c r="M72" s="481"/>
      <c r="N72" s="481"/>
      <c r="O72" s="481"/>
      <c r="P72" s="481"/>
      <c r="Q72" s="481"/>
      <c r="R72" s="79"/>
    </row>
    <row r="73" spans="2:18" x14ac:dyDescent="0.25">
      <c r="B73" s="80"/>
      <c r="C73" s="180" t="s">
        <v>480</v>
      </c>
      <c r="D73" s="435"/>
      <c r="E73" s="435"/>
      <c r="F73" s="435"/>
      <c r="G73" s="435"/>
      <c r="H73" s="435"/>
      <c r="I73" s="435"/>
      <c r="J73" s="435"/>
      <c r="L73" s="481"/>
      <c r="M73" s="481"/>
      <c r="N73" s="481"/>
      <c r="O73" s="481"/>
      <c r="P73" s="481"/>
      <c r="Q73" s="481"/>
      <c r="R73" s="79"/>
    </row>
    <row r="74" spans="2:18" x14ac:dyDescent="0.25">
      <c r="B74" s="80"/>
      <c r="C74" s="101" t="s">
        <v>1044</v>
      </c>
      <c r="D74" s="435"/>
      <c r="E74" s="435"/>
      <c r="F74" s="435"/>
      <c r="G74" s="435"/>
      <c r="H74" s="435"/>
      <c r="I74" s="435"/>
      <c r="J74" s="435"/>
      <c r="L74" s="481"/>
      <c r="M74" s="481"/>
      <c r="N74" s="481"/>
      <c r="O74" s="481"/>
      <c r="P74" s="481"/>
      <c r="Q74" s="481"/>
      <c r="R74" s="79"/>
    </row>
    <row r="75" spans="2:18" ht="14.45" customHeight="1" x14ac:dyDescent="0.25">
      <c r="B75" s="80"/>
      <c r="C75" s="1002" t="s">
        <v>481</v>
      </c>
      <c r="D75" s="1002"/>
      <c r="E75" s="1002"/>
      <c r="F75" s="1002"/>
      <c r="G75" s="1002"/>
      <c r="H75" s="1002"/>
      <c r="I75" s="1002"/>
      <c r="J75" s="1002"/>
      <c r="K75" s="1002"/>
      <c r="L75" s="1002"/>
      <c r="M75" s="1002"/>
      <c r="N75" s="1002"/>
      <c r="O75" s="481"/>
      <c r="P75" s="481"/>
      <c r="Q75" s="481"/>
      <c r="R75" s="79"/>
    </row>
    <row r="76" spans="2:18" x14ac:dyDescent="0.25">
      <c r="B76" s="80"/>
      <c r="C76" t="s">
        <v>482</v>
      </c>
      <c r="E76" s="263"/>
      <c r="F76" s="263"/>
      <c r="G76" s="263"/>
      <c r="H76" s="263"/>
      <c r="I76" s="263"/>
      <c r="J76" s="263"/>
      <c r="L76" s="236"/>
      <c r="M76" s="236"/>
      <c r="N76" s="236"/>
      <c r="O76" s="236"/>
      <c r="P76" s="236"/>
      <c r="Q76" s="236"/>
      <c r="R76" s="79"/>
    </row>
    <row r="77" spans="2:18" x14ac:dyDescent="0.25">
      <c r="B77" s="80"/>
      <c r="C77" t="s">
        <v>483</v>
      </c>
      <c r="E77" s="263"/>
      <c r="F77" s="263"/>
      <c r="G77" s="263"/>
      <c r="H77" s="263"/>
      <c r="I77" s="263"/>
      <c r="J77" s="263"/>
      <c r="L77" s="236"/>
      <c r="M77" s="236"/>
      <c r="N77" s="236"/>
      <c r="O77" s="236"/>
      <c r="P77" s="236"/>
      <c r="Q77" s="236"/>
      <c r="R77" s="79"/>
    </row>
    <row r="78" spans="2:18" ht="13.9" customHeight="1" x14ac:dyDescent="0.25">
      <c r="B78" s="80"/>
      <c r="C78" s="992" t="s">
        <v>1045</v>
      </c>
      <c r="D78" s="992"/>
      <c r="E78" s="992"/>
      <c r="F78" s="992"/>
      <c r="G78" s="992"/>
      <c r="H78" s="992"/>
      <c r="I78" s="992"/>
      <c r="J78" s="992"/>
      <c r="K78" s="992"/>
      <c r="L78" s="992"/>
      <c r="M78" s="992"/>
      <c r="N78" s="992"/>
      <c r="O78" s="992"/>
      <c r="P78" s="992"/>
      <c r="Q78" s="992"/>
      <c r="R78" s="79"/>
    </row>
    <row r="79" spans="2:18" ht="18" customHeight="1" x14ac:dyDescent="0.25">
      <c r="B79" s="80"/>
      <c r="C79" s="180" t="s">
        <v>486</v>
      </c>
      <c r="D79" s="101"/>
      <c r="E79" s="435"/>
      <c r="F79" s="435"/>
      <c r="G79" s="435"/>
      <c r="H79" s="180" t="s">
        <v>791</v>
      </c>
      <c r="I79" s="263"/>
      <c r="J79" s="263"/>
      <c r="L79" s="236"/>
      <c r="M79" s="236"/>
      <c r="N79" s="236"/>
      <c r="O79" s="236"/>
      <c r="P79" s="236"/>
      <c r="Q79" s="236"/>
      <c r="R79" s="79"/>
    </row>
    <row r="80" spans="2:18" ht="26.45" customHeight="1" x14ac:dyDescent="0.25">
      <c r="B80" s="80"/>
      <c r="C80" s="992" t="s">
        <v>989</v>
      </c>
      <c r="D80" s="992"/>
      <c r="E80" s="992"/>
      <c r="F80" s="992"/>
      <c r="G80" s="992"/>
      <c r="H80" s="992"/>
      <c r="I80" s="992"/>
      <c r="J80" s="992"/>
      <c r="K80" s="992"/>
      <c r="L80" s="992"/>
      <c r="M80" s="992"/>
      <c r="N80" s="992"/>
      <c r="O80" s="992"/>
      <c r="P80" s="992"/>
      <c r="Q80" s="992"/>
      <c r="R80" s="79"/>
    </row>
    <row r="81" spans="2:18" x14ac:dyDescent="0.25">
      <c r="B81" s="80"/>
      <c r="C81" t="s">
        <v>951</v>
      </c>
      <c r="E81" s="263"/>
      <c r="F81" s="263"/>
      <c r="G81" s="263"/>
      <c r="H81" s="263"/>
      <c r="I81" s="263"/>
      <c r="J81" s="263"/>
      <c r="L81" s="236"/>
      <c r="M81" s="236"/>
      <c r="N81" s="236"/>
      <c r="O81" s="236"/>
      <c r="P81" s="236"/>
      <c r="Q81" s="236"/>
      <c r="R81" s="79"/>
    </row>
    <row r="82" spans="2:18" ht="12.6" customHeight="1" thickBot="1" x14ac:dyDescent="0.3">
      <c r="B82" s="80"/>
      <c r="C82" s="1005"/>
      <c r="D82" s="1005"/>
      <c r="E82" s="1005"/>
      <c r="F82" s="1005"/>
      <c r="G82" s="1005"/>
      <c r="H82" s="1005"/>
      <c r="I82" s="1005"/>
      <c r="J82" s="1005"/>
      <c r="K82" s="1005"/>
      <c r="L82" s="1005"/>
      <c r="M82" s="1005"/>
      <c r="N82" s="1005"/>
      <c r="O82" s="1005"/>
      <c r="P82" s="1005"/>
      <c r="Q82" s="1005"/>
      <c r="R82" s="851"/>
    </row>
    <row r="83" spans="2:18" x14ac:dyDescent="0.25">
      <c r="B83" s="329"/>
      <c r="C83" s="491"/>
      <c r="D83" s="323"/>
      <c r="E83" s="323"/>
      <c r="F83" s="323"/>
      <c r="G83" s="323"/>
      <c r="H83" s="323"/>
      <c r="I83" s="323"/>
      <c r="J83" s="323"/>
      <c r="K83" s="323"/>
      <c r="L83" s="323"/>
      <c r="M83" s="323"/>
      <c r="N83" s="323"/>
      <c r="O83" s="323"/>
      <c r="P83" s="323"/>
      <c r="Q83" s="323"/>
      <c r="R83" s="492"/>
    </row>
    <row r="84" spans="2:18" x14ac:dyDescent="0.25">
      <c r="B84" s="80"/>
      <c r="C84" s="73" t="s">
        <v>487</v>
      </c>
      <c r="R84" s="79"/>
    </row>
    <row r="85" spans="2:18" x14ac:dyDescent="0.25">
      <c r="B85" s="80"/>
      <c r="C85" t="s">
        <v>943</v>
      </c>
      <c r="D85" s="186"/>
      <c r="E85" s="111" t="s">
        <v>465</v>
      </c>
      <c r="F85" s="111" t="s">
        <v>466</v>
      </c>
      <c r="G85" s="111" t="s">
        <v>467</v>
      </c>
      <c r="H85" s="111" t="s">
        <v>468</v>
      </c>
      <c r="I85" s="485" t="s">
        <v>469</v>
      </c>
      <c r="J85" s="485" t="s">
        <v>470</v>
      </c>
      <c r="L85" s="485" t="s">
        <v>465</v>
      </c>
      <c r="M85" s="281" t="s">
        <v>466</v>
      </c>
      <c r="N85" s="111" t="s">
        <v>467</v>
      </c>
      <c r="O85" s="111" t="s">
        <v>468</v>
      </c>
      <c r="P85" s="485" t="s">
        <v>469</v>
      </c>
      <c r="Q85" s="485" t="s">
        <v>470</v>
      </c>
      <c r="R85" s="79"/>
    </row>
    <row r="86" spans="2:18" x14ac:dyDescent="0.25">
      <c r="B86" s="80"/>
      <c r="D86" s="629" t="s">
        <v>937</v>
      </c>
      <c r="E86" s="387">
        <f>'Unit costs'!D49</f>
        <v>0.19539999999999999</v>
      </c>
      <c r="F86" s="388">
        <f>E86*-'Unit costs'!$C$49</f>
        <v>0.16218199999999999</v>
      </c>
      <c r="G86" s="388">
        <f>F86*-'Unit costs'!$C$49</f>
        <v>0.13461105999999998</v>
      </c>
      <c r="H86" s="388">
        <f>G86*-'Unit costs'!$C$49</f>
        <v>0.11172717979999998</v>
      </c>
      <c r="I86" s="388">
        <f>H86*-'Unit costs'!$C$49</f>
        <v>9.2733559233999979E-2</v>
      </c>
      <c r="J86" s="388">
        <f>I86*-'Unit costs'!$C$49</f>
        <v>7.6968854164219974E-2</v>
      </c>
      <c r="L86" s="282">
        <f>E86*'Inputs and eligible population'!F57</f>
        <v>5871.5646784571391</v>
      </c>
      <c r="M86" s="282">
        <f>F86*'Inputs and eligible population'!G57*(F44-E44)</f>
        <v>24.561929362921923</v>
      </c>
      <c r="N86" s="282">
        <f>G86*'Inputs and eligible population'!H57*(G44-F44)</f>
        <v>20.549492582194997</v>
      </c>
      <c r="O86" s="282">
        <f>H86*'Inputs and eligible population'!I57*(H44-G44)</f>
        <v>17.192527473967576</v>
      </c>
      <c r="P86" s="282">
        <f>I86*'Inputs and eligible population'!J57*(I44-H44)</f>
        <v>14.383956185820274</v>
      </c>
      <c r="Q86" s="282">
        <f>J86*'Inputs and eligible population'!K57*(J44-I44)</f>
        <v>12.034193103304673</v>
      </c>
      <c r="R86" s="79"/>
    </row>
    <row r="87" spans="2:18" x14ac:dyDescent="0.25">
      <c r="B87" s="80"/>
      <c r="D87" s="629" t="s">
        <v>488</v>
      </c>
      <c r="E87" s="307">
        <f t="shared" ref="E87:J87" si="41">E86*80%</f>
        <v>0.15632000000000001</v>
      </c>
      <c r="F87" s="307">
        <f t="shared" si="41"/>
        <v>0.12974559999999999</v>
      </c>
      <c r="G87" s="307">
        <f t="shared" si="41"/>
        <v>0.10768884799999999</v>
      </c>
      <c r="H87" s="307">
        <f t="shared" si="41"/>
        <v>8.9381743839999986E-2</v>
      </c>
      <c r="I87" s="307">
        <f t="shared" si="41"/>
        <v>7.4186847387199981E-2</v>
      </c>
      <c r="J87" s="307">
        <f t="shared" si="41"/>
        <v>6.1575083331375985E-2</v>
      </c>
      <c r="L87" s="276">
        <f>E87*'Inputs and eligible population'!F57</f>
        <v>4697.2517427657112</v>
      </c>
      <c r="M87" s="276">
        <f>M86*0.8</f>
        <v>19.649543490337539</v>
      </c>
      <c r="N87" s="276">
        <f>N86*0.8</f>
        <v>16.439594065755998</v>
      </c>
      <c r="O87" s="276">
        <f>O86*0.8</f>
        <v>13.754021979174063</v>
      </c>
      <c r="P87" s="276">
        <f>P86*0.8</f>
        <v>11.50716494865622</v>
      </c>
      <c r="Q87" s="276">
        <f>Q86*0.8</f>
        <v>9.6273544826437387</v>
      </c>
      <c r="R87" s="79"/>
    </row>
    <row r="88" spans="2:18" ht="30" x14ac:dyDescent="0.25">
      <c r="B88" s="80"/>
      <c r="D88" s="629" t="s">
        <v>489</v>
      </c>
      <c r="E88" s="307">
        <f t="shared" ref="E88:J88" si="42">E86-E87</f>
        <v>3.9079999999999976E-2</v>
      </c>
      <c r="F88" s="307">
        <f t="shared" si="42"/>
        <v>3.2436400000000004E-2</v>
      </c>
      <c r="G88" s="307">
        <f t="shared" si="42"/>
        <v>2.6922211999999987E-2</v>
      </c>
      <c r="H88" s="307">
        <f t="shared" si="42"/>
        <v>2.2345435959999993E-2</v>
      </c>
      <c r="I88" s="307">
        <f t="shared" si="42"/>
        <v>1.8546711846799999E-2</v>
      </c>
      <c r="J88" s="307">
        <f t="shared" si="42"/>
        <v>1.5393770832843989E-2</v>
      </c>
      <c r="L88" s="276">
        <f>E88*'Inputs and eligible population'!F57</f>
        <v>1174.3129356914271</v>
      </c>
      <c r="M88" s="276">
        <f>M86-M87</f>
        <v>4.9123858725843839</v>
      </c>
      <c r="N88" s="276">
        <f>N86-N87</f>
        <v>4.1098985164389994</v>
      </c>
      <c r="O88" s="276">
        <f>O86-O87</f>
        <v>3.4385054947935139</v>
      </c>
      <c r="P88" s="276">
        <f>P86-P87</f>
        <v>2.8767912371640545</v>
      </c>
      <c r="Q88" s="276">
        <f>Q86-Q87</f>
        <v>2.4068386206609347</v>
      </c>
      <c r="R88" s="79"/>
    </row>
    <row r="89" spans="2:18" x14ac:dyDescent="0.25">
      <c r="B89" s="80"/>
      <c r="E89" s="632">
        <f t="shared" ref="E89:J89" si="43">SUM(E87:E88)</f>
        <v>0.19539999999999999</v>
      </c>
      <c r="F89" s="632">
        <f t="shared" si="43"/>
        <v>0.16218199999999999</v>
      </c>
      <c r="G89" s="632">
        <f t="shared" si="43"/>
        <v>0.13461105999999998</v>
      </c>
      <c r="H89" s="632">
        <f t="shared" si="43"/>
        <v>0.11172717979999998</v>
      </c>
      <c r="I89" s="632">
        <f t="shared" si="43"/>
        <v>9.2733559233999979E-2</v>
      </c>
      <c r="J89" s="632">
        <f t="shared" si="43"/>
        <v>7.6968854164219974E-2</v>
      </c>
      <c r="L89" s="490">
        <f t="shared" ref="L89:Q89" si="44">SUM(L87:L88)</f>
        <v>5871.5646784571381</v>
      </c>
      <c r="M89" s="490">
        <f t="shared" si="44"/>
        <v>24.561929362921923</v>
      </c>
      <c r="N89" s="490">
        <f t="shared" si="44"/>
        <v>20.549492582194997</v>
      </c>
      <c r="O89" s="490">
        <f t="shared" si="44"/>
        <v>17.192527473967576</v>
      </c>
      <c r="P89" s="490">
        <f t="shared" si="44"/>
        <v>14.383956185820274</v>
      </c>
      <c r="Q89" s="490">
        <f t="shared" si="44"/>
        <v>12.034193103304673</v>
      </c>
      <c r="R89" s="79"/>
    </row>
    <row r="90" spans="2:18" x14ac:dyDescent="0.25">
      <c r="B90" s="80"/>
      <c r="E90" s="263"/>
      <c r="F90" s="263"/>
      <c r="G90" s="263"/>
      <c r="H90" s="263"/>
      <c r="I90" s="263"/>
      <c r="J90" s="263"/>
      <c r="R90" s="79"/>
    </row>
    <row r="91" spans="2:18" x14ac:dyDescent="0.25">
      <c r="B91" s="80"/>
      <c r="C91" t="s">
        <v>944</v>
      </c>
      <c r="D91" s="186"/>
      <c r="E91" s="111" t="s">
        <v>465</v>
      </c>
      <c r="F91" s="111" t="s">
        <v>466</v>
      </c>
      <c r="G91" s="111" t="s">
        <v>467</v>
      </c>
      <c r="H91" s="111" t="s">
        <v>468</v>
      </c>
      <c r="I91" s="485" t="s">
        <v>469</v>
      </c>
      <c r="J91" s="485" t="s">
        <v>470</v>
      </c>
      <c r="L91" s="485" t="s">
        <v>465</v>
      </c>
      <c r="M91" s="281" t="s">
        <v>466</v>
      </c>
      <c r="N91" s="111" t="s">
        <v>467</v>
      </c>
      <c r="O91" s="111" t="s">
        <v>468</v>
      </c>
      <c r="P91" s="485" t="s">
        <v>469</v>
      </c>
      <c r="Q91" s="485" t="s">
        <v>470</v>
      </c>
      <c r="R91" s="79"/>
    </row>
    <row r="92" spans="2:18" ht="30" x14ac:dyDescent="0.25">
      <c r="B92" s="80"/>
      <c r="D92" s="629" t="s">
        <v>952</v>
      </c>
      <c r="E92" s="387">
        <f>'Unit costs'!D50</f>
        <v>0.34733626437137488</v>
      </c>
      <c r="F92" s="388">
        <f>E92*-'Unit costs'!$C$50</f>
        <v>0.32034823662971906</v>
      </c>
      <c r="G92" s="388">
        <f>F92*-'Unit costs'!$C$50</f>
        <v>0.29545717864358989</v>
      </c>
      <c r="H92" s="388">
        <f>G92*-'Unit costs'!$C$50</f>
        <v>0.27250015586298298</v>
      </c>
      <c r="I92" s="388">
        <f>H92*-'Unit costs'!$C$50</f>
        <v>0.25132689375242923</v>
      </c>
      <c r="J92" s="388">
        <f>I92*-'Unit costs'!$C$50</f>
        <v>0.23179879410786547</v>
      </c>
      <c r="L92" s="282">
        <f>E92*'Inputs and eligible population'!F57</f>
        <v>10437.08977190489</v>
      </c>
      <c r="M92" s="282">
        <f>F92*'Inputs and eligible population'!G57*(F68-E68)</f>
        <v>485.15684599004504</v>
      </c>
      <c r="N92" s="282">
        <f>G92*'Inputs and eligible population'!H57*(G68-F68)</f>
        <v>451.03984032907181</v>
      </c>
      <c r="O92" s="282">
        <f>H92*'Inputs and eligible population'!I57*(H68-G68)</f>
        <v>419.32199709338681</v>
      </c>
      <c r="P92" s="282">
        <f>I92*'Inputs and eligible population'!J57*(I68-H68)</f>
        <v>389.8346033425845</v>
      </c>
      <c r="Q92" s="282">
        <f>J92*'Inputs and eligible population'!K57*(J68-I68)</f>
        <v>362.42081030016863</v>
      </c>
      <c r="R92" s="79"/>
    </row>
    <row r="93" spans="2:18" x14ac:dyDescent="0.25">
      <c r="B93" s="80"/>
      <c r="D93" s="938"/>
      <c r="E93" s="939"/>
      <c r="F93" s="939"/>
      <c r="G93" s="939"/>
      <c r="H93" s="939"/>
      <c r="I93" s="939"/>
      <c r="J93" s="939"/>
      <c r="L93" s="236"/>
      <c r="M93" s="236"/>
      <c r="N93" s="236"/>
      <c r="O93" s="236"/>
      <c r="P93" s="236"/>
      <c r="Q93" s="236"/>
      <c r="R93" s="79"/>
    </row>
    <row r="94" spans="2:18" x14ac:dyDescent="0.25">
      <c r="B94" s="80"/>
      <c r="C94" t="s">
        <v>1046</v>
      </c>
      <c r="D94" s="444"/>
      <c r="E94" s="111" t="s">
        <v>465</v>
      </c>
      <c r="F94" s="111" t="s">
        <v>466</v>
      </c>
      <c r="G94" s="111" t="s">
        <v>467</v>
      </c>
      <c r="H94" s="111" t="s">
        <v>468</v>
      </c>
      <c r="I94" s="485" t="s">
        <v>469</v>
      </c>
      <c r="J94" s="485" t="s">
        <v>470</v>
      </c>
      <c r="L94" s="476" t="s">
        <v>465</v>
      </c>
      <c r="M94" s="433" t="s">
        <v>466</v>
      </c>
      <c r="N94" s="434" t="s">
        <v>467</v>
      </c>
      <c r="O94" s="434" t="s">
        <v>468</v>
      </c>
      <c r="P94" s="476" t="s">
        <v>469</v>
      </c>
      <c r="Q94" s="476" t="s">
        <v>470</v>
      </c>
      <c r="R94" s="79"/>
    </row>
    <row r="95" spans="2:18" ht="28.15" customHeight="1" x14ac:dyDescent="0.25">
      <c r="B95" s="80"/>
      <c r="D95" s="629" t="s">
        <v>1047</v>
      </c>
      <c r="E95" s="940"/>
      <c r="F95" s="388"/>
      <c r="G95" s="388"/>
      <c r="H95" s="388"/>
      <c r="I95" s="388"/>
      <c r="J95" s="388"/>
      <c r="L95" s="488">
        <f>E95*'Inputs and eligible population'!F57</f>
        <v>0</v>
      </c>
      <c r="M95" s="488">
        <f>F95*'Inputs and eligible population'!G57</f>
        <v>0</v>
      </c>
      <c r="N95" s="488">
        <f>G95*'Inputs and eligible population'!H57</f>
        <v>0</v>
      </c>
      <c r="O95" s="488">
        <f>H95*'Inputs and eligible population'!I57</f>
        <v>0</v>
      </c>
      <c r="P95" s="488">
        <f>I95*'Inputs and eligible population'!J57</f>
        <v>0</v>
      </c>
      <c r="Q95" s="488">
        <f>J95*'Inputs and eligible population'!K57</f>
        <v>0</v>
      </c>
      <c r="R95" s="79"/>
    </row>
    <row r="96" spans="2:18" x14ac:dyDescent="0.25">
      <c r="B96" s="80"/>
      <c r="D96" s="444"/>
      <c r="E96" s="435"/>
      <c r="F96" s="435"/>
      <c r="G96" s="435"/>
      <c r="H96" s="435"/>
      <c r="I96" s="435"/>
      <c r="J96" s="435"/>
      <c r="L96" s="236"/>
      <c r="N96" s="236"/>
      <c r="Q96" s="236" t="s">
        <v>942</v>
      </c>
      <c r="R96" s="79"/>
    </row>
    <row r="97" spans="2:18" x14ac:dyDescent="0.25">
      <c r="B97" s="509"/>
      <c r="C97" s="483"/>
      <c r="D97" s="483"/>
      <c r="E97" s="480"/>
      <c r="F97" s="480"/>
      <c r="G97" s="480"/>
      <c r="H97" s="480"/>
      <c r="I97" s="480"/>
      <c r="J97" s="480"/>
      <c r="K97" s="483"/>
      <c r="L97" s="483"/>
      <c r="M97" s="483"/>
      <c r="N97" s="483"/>
      <c r="O97" s="483"/>
      <c r="P97" s="483"/>
      <c r="Q97" s="483"/>
      <c r="R97" s="484"/>
    </row>
    <row r="98" spans="2:18" x14ac:dyDescent="0.25">
      <c r="B98" s="80"/>
      <c r="C98" s="107" t="s">
        <v>478</v>
      </c>
      <c r="E98" s="263"/>
      <c r="F98" s="263"/>
      <c r="G98" s="263"/>
      <c r="H98" s="263"/>
      <c r="I98" s="263"/>
      <c r="J98" s="263"/>
      <c r="R98" s="79"/>
    </row>
    <row r="99" spans="2:18" x14ac:dyDescent="0.25">
      <c r="B99" s="80"/>
      <c r="C99" s="461" t="s">
        <v>950</v>
      </c>
      <c r="D99" s="74"/>
      <c r="G99" s="263"/>
      <c r="H99" s="263"/>
      <c r="I99" s="263"/>
      <c r="J99" s="263"/>
      <c r="N99" s="481"/>
      <c r="O99" s="481"/>
      <c r="P99" s="481"/>
      <c r="Q99" s="481"/>
      <c r="R99" s="79"/>
    </row>
    <row r="100" spans="2:18" x14ac:dyDescent="0.25">
      <c r="B100" s="80"/>
      <c r="C100" s="180" t="s">
        <v>492</v>
      </c>
      <c r="D100" s="74"/>
      <c r="G100" s="263"/>
      <c r="H100" s="263"/>
      <c r="I100" s="263"/>
      <c r="J100" s="263"/>
      <c r="N100" s="481"/>
      <c r="O100" s="481"/>
      <c r="P100" s="481"/>
      <c r="Q100" s="481"/>
      <c r="R100" s="79"/>
    </row>
    <row r="101" spans="2:18" x14ac:dyDescent="0.25">
      <c r="B101" s="80"/>
      <c r="C101" t="s">
        <v>876</v>
      </c>
      <c r="E101" s="263"/>
      <c r="F101" s="263"/>
      <c r="G101" s="263"/>
      <c r="H101" s="263"/>
      <c r="I101" s="263"/>
      <c r="J101" s="263"/>
      <c r="N101" s="481"/>
      <c r="O101" s="481"/>
      <c r="P101" s="481"/>
      <c r="Q101" s="481"/>
      <c r="R101" s="79"/>
    </row>
    <row r="102" spans="2:18" x14ac:dyDescent="0.25">
      <c r="B102" s="80"/>
      <c r="C102" t="s">
        <v>493</v>
      </c>
      <c r="R102" s="79"/>
    </row>
    <row r="103" spans="2:18" ht="27.6" customHeight="1" x14ac:dyDescent="0.25">
      <c r="B103" s="81"/>
      <c r="C103" s="1004" t="s">
        <v>991</v>
      </c>
      <c r="D103" s="1004"/>
      <c r="E103" s="1004"/>
      <c r="F103" s="1004"/>
      <c r="G103" s="1004"/>
      <c r="H103" s="1004"/>
      <c r="I103" s="1004"/>
      <c r="J103" s="1004"/>
      <c r="K103" s="1004"/>
      <c r="L103" s="1004"/>
      <c r="M103" s="1004"/>
      <c r="N103" s="1004"/>
      <c r="O103" s="1004"/>
      <c r="P103" s="1004"/>
      <c r="Q103" s="1004"/>
      <c r="R103" s="83"/>
    </row>
  </sheetData>
  <sheetProtection algorithmName="SHA-512" hashValue="UPwmp+Rhmuy/4dst0FCHLTkXubMwYRY+Kp231dK9wrVwUPcy5sa3f4+xD3+JIZdSE/eKjwJSI+tMEPAn81IXxg==" saltValue="rZ1Ti3TAEc3ZdcrnoHzrTg==" spinCount="100000" sheet="1" objects="1" scenarios="1"/>
  <protectedRanges>
    <protectedRange sqref="L86:Q88 E86:J88 E24:J26 L23:Q26 E28:J33 L66:Q68 E66:J68 L36:Q40 F34:J34 L15:Q18 E45:J53 L44:Q53 E92:J93 N96 Q96 L92:Q93 L28:Q34 E36:J40 E96:J96 L96" name="Range1_1"/>
    <protectedRange sqref="E62:Q63 E57:Q57 E65:J65" name="Range6_1_1"/>
    <protectedRange sqref="E23:J23" name="Range4_1"/>
    <protectedRange sqref="E23:J23" name="Range1_1_2"/>
    <protectedRange sqref="E44:J44" name="Range6_1"/>
    <protectedRange sqref="E44:J44" name="Range1_1_4"/>
    <protectedRange sqref="E78:G79 D72:I75" name="Range1_1_6"/>
    <protectedRange sqref="E95:Q95" name="Range14_2"/>
    <protectedRange sqref="E95:J95 L95:Q95" name="Range1_1_9"/>
  </protectedRanges>
  <mergeCells count="7">
    <mergeCell ref="C22:D22"/>
    <mergeCell ref="C75:N75"/>
    <mergeCell ref="B4:R6"/>
    <mergeCell ref="C80:Q80"/>
    <mergeCell ref="C103:Q103"/>
    <mergeCell ref="C82:Q82"/>
    <mergeCell ref="C78:Q78"/>
  </mergeCells>
  <hyperlinks>
    <hyperlink ref="C79" r:id="rId1" display="https://www.asthmaandlung.org.uk/investing-breath-measuring-economic-cost-asthma-copd-uk-identifying-ways-reduce-it-through-better" xr:uid="{593FDD64-A5EA-4B49-8061-63F358195276}"/>
    <hyperlink ref="C73" r:id="rId2" display="https://www.hqip.org.uk/resource/drawing-breath-jan23/" xr:uid="{85102DB3-6D83-4DFE-B13D-8D8AC06024E0}"/>
    <hyperlink ref="H79" r:id="rId3" display="https://thehealthinnovationnetwork.co.uk/programmes/respiratory-disease/bettering-access-to-feno-testing-in-primary-care/" xr:uid="{C6AF2515-AEFF-47AC-9CCF-8B422938FBE4}"/>
  </hyperlinks>
  <pageMargins left="0.7" right="0.7" top="0.75" bottom="0.75" header="0.3" footer="0.3"/>
  <pageSetup paperSize="9" orientation="portrait" horizontalDpi="4294967293" verticalDpi="0"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tabColor theme="8" tint="0.59999389629810485"/>
    <pageSetUpPr fitToPage="1"/>
  </sheetPr>
  <dimension ref="A1:BG172"/>
  <sheetViews>
    <sheetView showGridLines="0" topLeftCell="A70" zoomScale="80" zoomScaleNormal="80" workbookViewId="0">
      <selection activeCell="C108" sqref="C108:H108"/>
    </sheetView>
  </sheetViews>
  <sheetFormatPr defaultColWidth="9.42578125" defaultRowHeight="12.75" x14ac:dyDescent="0.2"/>
  <cols>
    <col min="1" max="1" width="3.5703125" style="3" customWidth="1"/>
    <col min="2" max="2" width="84.85546875" style="3" customWidth="1"/>
    <col min="3" max="3" width="38.7109375" style="3" customWidth="1"/>
    <col min="4" max="4" width="11.5703125" style="3" customWidth="1"/>
    <col min="5" max="5" width="14.85546875" style="3" customWidth="1"/>
    <col min="6" max="6" width="10.5703125" style="3" customWidth="1"/>
    <col min="7" max="7" width="11.85546875" style="3" customWidth="1"/>
    <col min="8" max="8" width="11.42578125" style="3" customWidth="1"/>
    <col min="9" max="9" width="9.42578125" style="3" customWidth="1"/>
    <col min="10" max="10" width="11.42578125" style="3" customWidth="1"/>
    <col min="11" max="12" width="10.5703125" style="3" customWidth="1"/>
    <col min="13" max="13" width="12.5703125" style="3" customWidth="1"/>
    <col min="14" max="14" width="14.5703125" style="3" customWidth="1"/>
    <col min="15" max="19" width="12.42578125" style="3" customWidth="1"/>
    <col min="20" max="20" width="10.42578125" style="3" customWidth="1"/>
    <col min="21" max="21" width="9.42578125" style="3" customWidth="1"/>
    <col min="22" max="23" width="9.42578125" style="3"/>
    <col min="24" max="24" width="20.85546875" style="3" customWidth="1"/>
    <col min="25" max="16384" width="9.42578125" style="3"/>
  </cols>
  <sheetData>
    <row r="1" spans="1:20" ht="30" customHeight="1" x14ac:dyDescent="0.35">
      <c r="A1" s="103"/>
      <c r="B1" s="265" t="str">
        <f>'Inputs and eligible population'!B1</f>
        <v>Asthma: diagnosis, monitoring and chronic asthma management</v>
      </c>
      <c r="C1" s="72"/>
      <c r="D1" s="63"/>
      <c r="E1" s="63"/>
      <c r="F1" s="63"/>
      <c r="G1" s="63"/>
      <c r="H1" s="63"/>
      <c r="I1" s="63"/>
      <c r="J1" s="63" t="s">
        <v>494</v>
      </c>
      <c r="K1" s="63" t="s">
        <v>494</v>
      </c>
      <c r="L1" s="63" t="s">
        <v>494</v>
      </c>
      <c r="M1" s="63" t="s">
        <v>494</v>
      </c>
      <c r="N1" s="75"/>
      <c r="O1" s="75"/>
      <c r="P1" s="75"/>
      <c r="Q1" s="103"/>
      <c r="R1" s="103"/>
      <c r="S1" s="103"/>
      <c r="T1" s="103"/>
    </row>
    <row r="2" spans="1:20" ht="26.25" customHeight="1" x14ac:dyDescent="0.35">
      <c r="A2" s="103"/>
      <c r="B2" s="633" t="s">
        <v>38</v>
      </c>
      <c r="C2" s="71" t="s">
        <v>494</v>
      </c>
      <c r="D2" s="63" t="s">
        <v>494</v>
      </c>
      <c r="E2" s="63" t="s">
        <v>494</v>
      </c>
      <c r="F2" s="63" t="s">
        <v>494</v>
      </c>
      <c r="G2" s="63" t="s">
        <v>494</v>
      </c>
      <c r="H2" s="63" t="s">
        <v>494</v>
      </c>
      <c r="I2" s="63" t="s">
        <v>494</v>
      </c>
      <c r="J2" s="63" t="s">
        <v>494</v>
      </c>
      <c r="K2" s="64" t="s">
        <v>494</v>
      </c>
      <c r="L2" s="64"/>
      <c r="M2" s="64"/>
      <c r="N2" s="64"/>
      <c r="O2" s="64"/>
      <c r="P2" s="64"/>
      <c r="Q2" s="103"/>
      <c r="R2" s="103"/>
      <c r="S2" s="103"/>
      <c r="T2" s="103"/>
    </row>
    <row r="3" spans="1:20" ht="14.85" customHeight="1" x14ac:dyDescent="0.35">
      <c r="A3" s="103"/>
      <c r="B3" s="61"/>
      <c r="C3" s="72"/>
      <c r="D3" s="63"/>
      <c r="E3" s="63"/>
      <c r="F3" s="63"/>
      <c r="G3" s="63" t="s">
        <v>494</v>
      </c>
      <c r="H3" s="63" t="s">
        <v>494</v>
      </c>
      <c r="I3" s="63" t="s">
        <v>494</v>
      </c>
      <c r="J3" s="63" t="s">
        <v>494</v>
      </c>
      <c r="K3" s="64" t="s">
        <v>494</v>
      </c>
      <c r="L3" s="64"/>
      <c r="M3" s="64"/>
      <c r="N3" s="64"/>
      <c r="O3" s="64"/>
      <c r="P3" s="64"/>
      <c r="Q3" s="103"/>
      <c r="R3" s="103"/>
      <c r="S3" s="103"/>
      <c r="T3" s="103"/>
    </row>
    <row r="4" spans="1:20" ht="14.85" customHeight="1" x14ac:dyDescent="0.35">
      <c r="A4" s="103"/>
      <c r="B4" t="s">
        <v>884</v>
      </c>
      <c r="C4" s="72"/>
      <c r="D4" s="63"/>
      <c r="E4" s="63"/>
      <c r="F4" s="63"/>
      <c r="G4" s="63" t="s">
        <v>494</v>
      </c>
      <c r="H4" s="63" t="s">
        <v>494</v>
      </c>
      <c r="I4" s="63" t="s">
        <v>494</v>
      </c>
      <c r="J4" s="63" t="s">
        <v>494</v>
      </c>
      <c r="K4" s="64" t="s">
        <v>494</v>
      </c>
      <c r="L4" s="63"/>
      <c r="M4" s="64"/>
      <c r="N4" s="64"/>
      <c r="O4" s="64"/>
      <c r="P4" s="64"/>
      <c r="Q4" s="64"/>
      <c r="R4" s="64"/>
      <c r="S4" s="64"/>
      <c r="T4" s="64"/>
    </row>
    <row r="5" spans="1:20" ht="14.85" customHeight="1" x14ac:dyDescent="0.35">
      <c r="A5" s="103"/>
      <c r="B5" t="s">
        <v>414</v>
      </c>
      <c r="C5" s="72"/>
      <c r="D5" s="63"/>
      <c r="E5" s="63"/>
      <c r="F5" s="63"/>
      <c r="G5" s="63"/>
      <c r="H5" s="63" t="s">
        <v>494</v>
      </c>
      <c r="I5" s="63" t="s">
        <v>494</v>
      </c>
      <c r="J5" s="63" t="s">
        <v>494</v>
      </c>
      <c r="K5" s="64" t="s">
        <v>494</v>
      </c>
      <c r="L5" s="63"/>
      <c r="M5" s="64"/>
      <c r="N5" s="64"/>
      <c r="O5" s="64"/>
      <c r="P5" s="64"/>
      <c r="Q5" s="64"/>
      <c r="R5" s="64"/>
      <c r="S5" s="64"/>
      <c r="T5" s="64"/>
    </row>
    <row r="6" spans="1:20" ht="14.85" customHeight="1" x14ac:dyDescent="0.35">
      <c r="A6" s="103"/>
      <c r="B6"/>
      <c r="C6" s="72"/>
      <c r="D6" s="63"/>
      <c r="E6" s="63"/>
      <c r="F6" s="63"/>
      <c r="G6" s="63"/>
      <c r="H6" s="63"/>
      <c r="I6" s="63"/>
      <c r="J6" s="63"/>
      <c r="K6" s="64"/>
      <c r="L6" s="63"/>
      <c r="M6" s="64"/>
      <c r="N6" s="64"/>
      <c r="O6" s="64"/>
      <c r="P6" s="64"/>
      <c r="Q6" s="64"/>
      <c r="R6" s="64"/>
      <c r="S6" s="64"/>
      <c r="T6" s="64"/>
    </row>
    <row r="7" spans="1:20" ht="14.85" customHeight="1" x14ac:dyDescent="0.25">
      <c r="A7" s="103"/>
      <c r="B7" s="183" t="s">
        <v>810</v>
      </c>
      <c r="C7" s="485" t="s">
        <v>495</v>
      </c>
      <c r="D7" s="916"/>
      <c r="E7" s="917"/>
      <c r="F7" s="917"/>
      <c r="G7" s="921" t="s">
        <v>533</v>
      </c>
      <c r="H7" s="63"/>
      <c r="I7" s="63"/>
      <c r="J7" s="63"/>
      <c r="K7" s="64"/>
      <c r="L7" s="63"/>
      <c r="M7" s="64"/>
      <c r="N7" s="64"/>
      <c r="O7" s="64"/>
      <c r="P7" s="64"/>
      <c r="Q7" s="64"/>
      <c r="R7" s="64"/>
      <c r="S7" s="64"/>
      <c r="T7" s="64"/>
    </row>
    <row r="8" spans="1:20" ht="14.85" customHeight="1" x14ac:dyDescent="0.25">
      <c r="A8" s="103"/>
      <c r="B8" s="628" t="s">
        <v>484</v>
      </c>
      <c r="C8" s="424">
        <v>1.8</v>
      </c>
      <c r="D8" s="919" t="s">
        <v>868</v>
      </c>
      <c r="E8" s="917"/>
      <c r="F8" s="917"/>
      <c r="G8" s="1023" t="s">
        <v>992</v>
      </c>
      <c r="H8" s="63"/>
      <c r="I8" s="63"/>
      <c r="J8" s="63"/>
      <c r="K8" s="64"/>
      <c r="L8" s="63"/>
      <c r="M8" s="64"/>
      <c r="N8" s="64"/>
      <c r="O8" s="64"/>
      <c r="P8" s="64"/>
      <c r="Q8" s="64"/>
      <c r="R8" s="64"/>
      <c r="S8" s="64"/>
      <c r="T8" s="64"/>
    </row>
    <row r="9" spans="1:20" ht="14.85" customHeight="1" x14ac:dyDescent="0.25">
      <c r="A9" s="103"/>
      <c r="B9" s="628" t="s">
        <v>496</v>
      </c>
      <c r="C9" s="425">
        <v>7.47</v>
      </c>
      <c r="D9" s="919" t="s">
        <v>869</v>
      </c>
      <c r="E9" s="917"/>
      <c r="F9" s="917"/>
      <c r="G9" s="1024"/>
      <c r="H9" s="63"/>
      <c r="I9" s="63"/>
      <c r="J9" s="63"/>
      <c r="K9" s="64"/>
      <c r="L9" s="63"/>
      <c r="M9" s="64"/>
      <c r="N9" s="64"/>
      <c r="O9" s="64"/>
      <c r="P9" s="64"/>
      <c r="Q9" s="64"/>
      <c r="R9" s="64"/>
      <c r="S9" s="64"/>
      <c r="T9" s="64"/>
    </row>
    <row r="10" spans="1:20" ht="14.85" customHeight="1" x14ac:dyDescent="0.25">
      <c r="A10" s="103"/>
      <c r="B10" s="628" t="s">
        <v>497</v>
      </c>
      <c r="C10" s="425">
        <v>6.37</v>
      </c>
      <c r="D10" s="919" t="s">
        <v>871</v>
      </c>
      <c r="E10" s="917"/>
      <c r="F10" s="917"/>
      <c r="G10" s="1024"/>
      <c r="H10" s="63"/>
      <c r="I10" s="63"/>
      <c r="J10" s="63"/>
      <c r="K10" s="64"/>
      <c r="L10" s="63"/>
      <c r="M10" s="64"/>
      <c r="N10" s="64"/>
      <c r="O10" s="64"/>
      <c r="P10" s="64"/>
      <c r="Q10" s="64"/>
      <c r="R10" s="64"/>
      <c r="S10" s="64"/>
      <c r="T10" s="64"/>
    </row>
    <row r="11" spans="1:20" ht="14.85" customHeight="1" x14ac:dyDescent="0.25">
      <c r="A11" s="103"/>
      <c r="B11" s="628" t="s">
        <v>498</v>
      </c>
      <c r="C11" s="425">
        <v>4.7</v>
      </c>
      <c r="D11" s="919" t="s">
        <v>499</v>
      </c>
      <c r="E11" s="917"/>
      <c r="F11" s="917"/>
      <c r="G11" s="1024"/>
      <c r="H11" s="75"/>
      <c r="I11" s="63"/>
      <c r="J11" s="63"/>
      <c r="K11" s="64"/>
      <c r="L11" s="63"/>
      <c r="M11" s="64"/>
      <c r="N11" s="64"/>
      <c r="O11" s="64"/>
      <c r="P11" s="64"/>
      <c r="Q11" s="64"/>
      <c r="R11" s="64"/>
      <c r="S11" s="64"/>
      <c r="T11" s="64"/>
    </row>
    <row r="12" spans="1:20" ht="14.85" customHeight="1" x14ac:dyDescent="0.25">
      <c r="A12" s="103"/>
      <c r="B12" s="628" t="s">
        <v>500</v>
      </c>
      <c r="C12" s="425">
        <v>2.33</v>
      </c>
      <c r="D12" s="919" t="s">
        <v>499</v>
      </c>
      <c r="E12" s="917"/>
      <c r="F12" s="917"/>
      <c r="G12" s="1024"/>
      <c r="H12" s="75"/>
      <c r="I12" s="63"/>
      <c r="J12" s="63"/>
      <c r="K12" s="64"/>
      <c r="L12" s="63"/>
      <c r="M12" s="64"/>
      <c r="N12" s="64"/>
      <c r="O12" s="64"/>
      <c r="P12" s="64"/>
      <c r="Q12" s="64"/>
      <c r="R12" s="64"/>
      <c r="S12" s="64"/>
      <c r="T12" s="64"/>
    </row>
    <row r="13" spans="1:20" ht="14.85" customHeight="1" x14ac:dyDescent="0.25">
      <c r="A13" s="103"/>
      <c r="B13" s="634" t="s">
        <v>501</v>
      </c>
      <c r="C13" s="426" t="s">
        <v>502</v>
      </c>
      <c r="D13" s="919" t="s">
        <v>499</v>
      </c>
      <c r="E13" s="917"/>
      <c r="F13" s="917"/>
      <c r="G13" s="1024"/>
      <c r="H13" s="63"/>
      <c r="I13" s="63"/>
      <c r="J13" s="63"/>
      <c r="K13" s="64"/>
      <c r="L13" s="63"/>
      <c r="M13" s="64"/>
      <c r="N13" s="64"/>
      <c r="O13" s="64"/>
      <c r="P13" s="64"/>
      <c r="Q13" s="64"/>
      <c r="R13" s="64"/>
      <c r="S13" s="64"/>
      <c r="T13" s="64"/>
    </row>
    <row r="14" spans="1:20" ht="14.85" customHeight="1" x14ac:dyDescent="0.25">
      <c r="A14" s="103"/>
      <c r="B14" s="634" t="s">
        <v>503</v>
      </c>
      <c r="C14" s="426" t="s">
        <v>502</v>
      </c>
      <c r="D14" s="919" t="s">
        <v>499</v>
      </c>
      <c r="E14" s="917"/>
      <c r="F14" s="917"/>
      <c r="G14" s="1025"/>
      <c r="H14" s="63"/>
      <c r="I14" s="63"/>
      <c r="J14" s="63"/>
      <c r="K14" s="64"/>
      <c r="L14" s="63"/>
      <c r="M14" s="64"/>
      <c r="N14" s="64"/>
      <c r="O14" s="64"/>
      <c r="P14" s="64"/>
      <c r="Q14" s="64"/>
      <c r="R14" s="64"/>
      <c r="S14" s="64"/>
      <c r="T14" s="64"/>
    </row>
    <row r="15" spans="1:20" ht="14.85" customHeight="1" x14ac:dyDescent="0.25">
      <c r="A15" s="103"/>
      <c r="B15" s="628" t="s">
        <v>864</v>
      </c>
      <c r="C15" s="426">
        <v>24.77</v>
      </c>
      <c r="D15" s="919" t="s">
        <v>870</v>
      </c>
      <c r="E15" s="917"/>
      <c r="F15" s="917"/>
      <c r="G15" s="918"/>
      <c r="H15" s="63"/>
      <c r="I15" s="63"/>
      <c r="J15" s="63"/>
      <c r="K15" s="64"/>
      <c r="L15" s="63"/>
      <c r="M15" s="64"/>
      <c r="N15" s="64"/>
      <c r="O15" s="64"/>
      <c r="P15" s="64"/>
      <c r="Q15" s="64"/>
      <c r="R15" s="64"/>
      <c r="S15" s="64"/>
      <c r="T15" s="64"/>
    </row>
    <row r="16" spans="1:20" ht="14.85" customHeight="1" x14ac:dyDescent="0.25">
      <c r="A16" s="103"/>
      <c r="B16" s="628" t="s">
        <v>858</v>
      </c>
      <c r="C16" s="799">
        <f>8.27/10</f>
        <v>0.82699999999999996</v>
      </c>
      <c r="D16" s="919" t="s">
        <v>870</v>
      </c>
      <c r="E16" s="917"/>
      <c r="F16" s="917"/>
      <c r="G16" s="920"/>
      <c r="H16" s="64"/>
      <c r="I16" s="63"/>
      <c r="J16" s="63"/>
      <c r="K16" s="64"/>
      <c r="L16" s="63"/>
      <c r="M16" s="64"/>
      <c r="N16" s="64"/>
      <c r="O16" s="64"/>
      <c r="P16" s="64"/>
      <c r="Q16" s="64"/>
      <c r="R16" s="64"/>
      <c r="S16" s="64"/>
      <c r="T16" s="64"/>
    </row>
    <row r="17" spans="1:24" ht="14.85" customHeight="1" x14ac:dyDescent="0.35">
      <c r="A17" s="103"/>
      <c r="B17" s="766" t="s">
        <v>808</v>
      </c>
      <c r="C17" s="837"/>
      <c r="D17" s="63"/>
      <c r="E17" s="63"/>
      <c r="F17" s="63"/>
      <c r="G17" s="63"/>
      <c r="H17" s="63"/>
      <c r="I17" s="63"/>
      <c r="J17" s="63"/>
      <c r="K17" s="64"/>
      <c r="L17" s="63"/>
      <c r="M17" s="64"/>
      <c r="N17" s="64"/>
      <c r="O17" s="64"/>
      <c r="P17" s="64"/>
      <c r="Q17" s="64"/>
      <c r="R17" s="64"/>
      <c r="S17" s="64"/>
      <c r="T17" s="64"/>
    </row>
    <row r="18" spans="1:24" ht="14.85" customHeight="1" x14ac:dyDescent="0.35">
      <c r="A18" s="103"/>
      <c r="B18" s="180" t="s">
        <v>809</v>
      </c>
      <c r="C18" s="72"/>
      <c r="D18" s="63"/>
      <c r="E18" s="63"/>
      <c r="F18" s="63"/>
      <c r="G18" s="63"/>
      <c r="H18" s="63"/>
      <c r="I18" s="63"/>
      <c r="J18" s="63"/>
      <c r="K18" s="64"/>
      <c r="L18" s="63"/>
      <c r="M18" s="64"/>
      <c r="N18" s="64"/>
      <c r="O18" s="64"/>
      <c r="P18" s="64"/>
      <c r="Q18" s="64"/>
      <c r="R18" s="64"/>
      <c r="S18" s="64"/>
      <c r="T18" s="64"/>
    </row>
    <row r="19" spans="1:24" ht="14.85" customHeight="1" x14ac:dyDescent="0.35">
      <c r="A19" s="103"/>
      <c r="B19" s="180" t="s">
        <v>807</v>
      </c>
      <c r="C19" s="72"/>
      <c r="D19" s="63"/>
      <c r="E19" s="63"/>
      <c r="F19" s="63"/>
      <c r="G19" s="63"/>
      <c r="H19" s="63"/>
      <c r="I19" s="63"/>
      <c r="J19" s="63"/>
      <c r="K19" s="64"/>
      <c r="L19" s="63"/>
      <c r="M19" s="64"/>
      <c r="N19" s="64"/>
      <c r="O19" s="64"/>
      <c r="P19" s="64"/>
      <c r="Q19" s="64"/>
      <c r="R19" s="64"/>
      <c r="S19" s="64"/>
      <c r="T19" s="64"/>
    </row>
    <row r="20" spans="1:24" ht="14.85" customHeight="1" x14ac:dyDescent="0.35">
      <c r="A20" s="103"/>
      <c r="B20" s="180" t="s">
        <v>803</v>
      </c>
      <c r="C20" s="72"/>
      <c r="D20" s="63"/>
      <c r="E20" s="63"/>
      <c r="F20" s="63"/>
      <c r="G20" s="63"/>
      <c r="H20" s="63"/>
      <c r="I20" s="63"/>
      <c r="J20" s="63"/>
      <c r="K20" s="64"/>
      <c r="L20" s="63"/>
      <c r="M20" s="64"/>
      <c r="N20" s="64"/>
      <c r="O20" s="64"/>
      <c r="P20" s="64"/>
      <c r="Q20" s="64"/>
      <c r="R20" s="64"/>
      <c r="S20" s="64"/>
      <c r="T20" s="64"/>
    </row>
    <row r="21" spans="1:24" ht="14.85" customHeight="1" x14ac:dyDescent="0.35">
      <c r="A21" s="103"/>
      <c r="B21"/>
      <c r="C21" s="72"/>
      <c r="D21" s="63"/>
      <c r="E21" s="63"/>
      <c r="F21" s="63"/>
      <c r="G21" s="63"/>
      <c r="H21" s="63"/>
      <c r="I21" s="63"/>
      <c r="J21" s="63"/>
      <c r="K21" s="64"/>
      <c r="L21" s="63"/>
      <c r="M21" s="64"/>
      <c r="N21" s="64"/>
      <c r="O21" s="64"/>
      <c r="P21" s="64"/>
      <c r="Q21" s="64"/>
      <c r="R21" s="64"/>
      <c r="S21" s="64"/>
      <c r="T21" s="64"/>
    </row>
    <row r="22" spans="1:24" s="4" customFormat="1" ht="15" x14ac:dyDescent="0.25">
      <c r="A22" s="5"/>
      <c r="B22" s="220" t="s">
        <v>723</v>
      </c>
      <c r="C22" s="94"/>
      <c r="D22" s="94"/>
      <c r="E22" s="57"/>
      <c r="F22" s="95"/>
      <c r="G22" s="96"/>
      <c r="H22" s="5"/>
      <c r="I22" s="5"/>
      <c r="J22" s="97"/>
      <c r="K22" s="96"/>
      <c r="L22" s="96"/>
      <c r="M22" s="96"/>
      <c r="N22" s="96"/>
      <c r="O22" s="64"/>
      <c r="P22" s="96"/>
      <c r="Q22" s="96"/>
      <c r="R22" s="97"/>
      <c r="S22" s="774"/>
      <c r="T22" s="5"/>
      <c r="W22" s="3"/>
    </row>
    <row r="23" spans="1:24" s="4" customFormat="1" ht="15" x14ac:dyDescent="0.25">
      <c r="A23" s="5"/>
      <c r="B23" s="635" t="s">
        <v>505</v>
      </c>
      <c r="C23" s="134" t="s">
        <v>506</v>
      </c>
      <c r="D23" s="136" t="s">
        <v>507</v>
      </c>
      <c r="E23" s="216"/>
      <c r="F23" s="217"/>
      <c r="G23" s="218"/>
      <c r="H23" s="219"/>
      <c r="I23" s="218"/>
      <c r="J23" s="219"/>
      <c r="K23" s="218"/>
      <c r="L23" s="219"/>
      <c r="M23" s="218"/>
      <c r="N23" s="636" t="s">
        <v>508</v>
      </c>
      <c r="O23" s="64"/>
      <c r="P23" s="318"/>
      <c r="Q23" s="96"/>
      <c r="R23" s="97"/>
      <c r="S23" s="775"/>
      <c r="T23" s="5"/>
      <c r="W23" s="3"/>
    </row>
    <row r="24" spans="1:24" s="4" customFormat="1" ht="15" x14ac:dyDescent="0.25">
      <c r="A24" s="5"/>
      <c r="B24" s="637" t="s">
        <v>510</v>
      </c>
      <c r="C24" s="638" t="s">
        <v>511</v>
      </c>
      <c r="D24" s="310" t="s">
        <v>512</v>
      </c>
      <c r="E24" s="314"/>
      <c r="F24" s="311"/>
      <c r="G24" s="312"/>
      <c r="H24" s="313"/>
      <c r="I24" s="313"/>
      <c r="J24" s="313"/>
      <c r="K24" s="313"/>
      <c r="L24" s="312"/>
      <c r="M24" s="639"/>
      <c r="N24" s="640">
        <v>298</v>
      </c>
      <c r="O24" s="64"/>
      <c r="P24" s="318"/>
      <c r="Q24" s="96"/>
      <c r="R24" s="97"/>
      <c r="S24" s="775"/>
      <c r="T24" s="5"/>
      <c r="W24" s="3"/>
    </row>
    <row r="25" spans="1:24" s="4" customFormat="1" ht="45" customHeight="1" x14ac:dyDescent="0.25">
      <c r="A25" s="5"/>
      <c r="B25" s="637" t="s">
        <v>510</v>
      </c>
      <c r="C25" s="638" t="s">
        <v>520</v>
      </c>
      <c r="D25" s="310" t="s">
        <v>521</v>
      </c>
      <c r="E25" s="314"/>
      <c r="F25" s="311"/>
      <c r="G25" s="312"/>
      <c r="H25" s="313"/>
      <c r="I25" s="313"/>
      <c r="J25" s="313"/>
      <c r="K25" s="313"/>
      <c r="L25" s="312"/>
      <c r="M25" s="639"/>
      <c r="N25" s="640">
        <v>241</v>
      </c>
      <c r="O25" s="64"/>
      <c r="P25" s="96"/>
      <c r="Q25" s="96"/>
      <c r="R25" s="97"/>
      <c r="S25" s="775"/>
      <c r="T25" s="5"/>
      <c r="W25" s="3"/>
    </row>
    <row r="26" spans="1:24" s="4" customFormat="1" ht="15" x14ac:dyDescent="0.2">
      <c r="A26" s="5"/>
      <c r="B26" s="105" t="s">
        <v>516</v>
      </c>
      <c r="C26" s="5"/>
      <c r="D26" s="94"/>
      <c r="E26" s="57"/>
      <c r="F26" s="95"/>
      <c r="G26" s="96"/>
      <c r="H26" s="5"/>
      <c r="I26" s="5"/>
      <c r="J26" s="97"/>
      <c r="K26" s="96"/>
      <c r="L26" s="96"/>
      <c r="M26" s="96"/>
      <c r="N26" s="96"/>
      <c r="O26" s="64"/>
      <c r="P26" s="96"/>
      <c r="Q26" s="96"/>
      <c r="R26" s="97"/>
      <c r="S26" s="775"/>
      <c r="T26" s="5"/>
      <c r="W26" s="3"/>
    </row>
    <row r="27" spans="1:24" s="4" customFormat="1" ht="15" x14ac:dyDescent="0.25">
      <c r="A27" s="5"/>
      <c r="B27" s="104" t="s">
        <v>517</v>
      </c>
      <c r="C27" s="5"/>
      <c r="D27" s="94"/>
      <c r="E27" s="57"/>
      <c r="F27" s="95"/>
      <c r="G27" s="96"/>
      <c r="H27" s="5"/>
      <c r="I27" s="5"/>
      <c r="J27" s="97"/>
      <c r="K27" s="96"/>
      <c r="L27" s="96"/>
      <c r="M27" s="96"/>
      <c r="N27" s="96"/>
      <c r="O27" s="64"/>
      <c r="P27" s="96"/>
      <c r="Q27" s="96"/>
      <c r="R27" s="97"/>
      <c r="S27" s="775"/>
      <c r="T27" s="5"/>
      <c r="W27" s="3"/>
    </row>
    <row r="28" spans="1:24" s="4" customFormat="1" ht="15" x14ac:dyDescent="0.25">
      <c r="A28" s="5"/>
      <c r="B28" s="104"/>
      <c r="C28" s="5"/>
      <c r="D28" s="94"/>
      <c r="E28" s="57"/>
      <c r="F28" s="95"/>
      <c r="G28" s="96"/>
      <c r="H28" s="133"/>
      <c r="I28" s="133"/>
      <c r="J28" s="133"/>
      <c r="K28" s="133"/>
      <c r="L28" s="133"/>
      <c r="M28" s="133"/>
      <c r="N28" s="133"/>
      <c r="O28" s="133"/>
      <c r="P28" s="133"/>
      <c r="Q28" s="133"/>
      <c r="R28" s="133"/>
      <c r="S28" s="235" t="s">
        <v>50</v>
      </c>
      <c r="T28" s="133"/>
      <c r="U28" s="922"/>
      <c r="V28" s="922"/>
      <c r="W28" s="922"/>
      <c r="X28" s="922"/>
    </row>
    <row r="29" spans="1:24" s="4" customFormat="1" ht="15" x14ac:dyDescent="0.25">
      <c r="A29" s="5"/>
      <c r="B29" s="220" t="s">
        <v>724</v>
      </c>
      <c r="C29" s="94"/>
      <c r="D29" s="94"/>
      <c r="E29" s="57"/>
      <c r="F29" s="95"/>
      <c r="G29" s="96"/>
      <c r="H29" s="5"/>
      <c r="I29" s="5"/>
      <c r="J29" s="97"/>
      <c r="K29" s="96"/>
      <c r="L29" s="96"/>
      <c r="M29" s="96"/>
      <c r="N29" s="96"/>
      <c r="O29" s="64"/>
      <c r="P29" s="96"/>
      <c r="Q29" s="96"/>
      <c r="R29" s="97"/>
      <c r="S29" s="235" t="s">
        <v>768</v>
      </c>
      <c r="T29" s="5"/>
      <c r="W29" s="3"/>
    </row>
    <row r="30" spans="1:24" s="4" customFormat="1" ht="15" x14ac:dyDescent="0.25">
      <c r="A30" s="5"/>
      <c r="B30" s="635" t="s">
        <v>505</v>
      </c>
      <c r="C30" s="134" t="s">
        <v>506</v>
      </c>
      <c r="D30" s="136" t="s">
        <v>507</v>
      </c>
      <c r="E30" s="216"/>
      <c r="F30" s="217"/>
      <c r="G30" s="218"/>
      <c r="H30" s="219"/>
      <c r="I30" s="218"/>
      <c r="J30" s="219"/>
      <c r="K30" s="218"/>
      <c r="L30" s="219"/>
      <c r="M30" s="218"/>
      <c r="N30" s="636" t="s">
        <v>508</v>
      </c>
      <c r="O30" s="64"/>
      <c r="P30" s="96"/>
      <c r="Q30" s="96"/>
      <c r="R30" s="97"/>
      <c r="S30" s="235" t="s">
        <v>769</v>
      </c>
      <c r="T30" s="5"/>
      <c r="W30" s="3"/>
    </row>
    <row r="31" spans="1:24" s="4" customFormat="1" ht="15" x14ac:dyDescent="0.25">
      <c r="A31" s="5"/>
      <c r="B31" s="637" t="s">
        <v>514</v>
      </c>
      <c r="C31" s="638" t="s">
        <v>515</v>
      </c>
      <c r="D31" s="310" t="s">
        <v>512</v>
      </c>
      <c r="E31" s="314"/>
      <c r="F31" s="311"/>
      <c r="G31" s="312"/>
      <c r="H31" s="313"/>
      <c r="I31" s="313"/>
      <c r="J31" s="313"/>
      <c r="K31" s="313"/>
      <c r="L31" s="312"/>
      <c r="M31" s="639"/>
      <c r="N31" s="640">
        <v>159</v>
      </c>
      <c r="O31" s="64"/>
      <c r="P31" s="318"/>
      <c r="Q31" s="96"/>
      <c r="R31" s="97"/>
      <c r="S31" s="235" t="s">
        <v>504</v>
      </c>
      <c r="T31" s="5"/>
      <c r="W31" s="3"/>
    </row>
    <row r="32" spans="1:24" s="4" customFormat="1" ht="15" x14ac:dyDescent="0.25">
      <c r="A32" s="5"/>
      <c r="B32" s="637" t="s">
        <v>514</v>
      </c>
      <c r="C32" s="638" t="s">
        <v>522</v>
      </c>
      <c r="D32" s="310" t="s">
        <v>521</v>
      </c>
      <c r="E32" s="314"/>
      <c r="F32" s="311"/>
      <c r="G32" s="312"/>
      <c r="H32" s="313"/>
      <c r="I32" s="313"/>
      <c r="J32" s="313"/>
      <c r="K32" s="313"/>
      <c r="L32" s="312"/>
      <c r="M32" s="639"/>
      <c r="N32" s="640">
        <v>107</v>
      </c>
      <c r="O32" s="64"/>
      <c r="P32" s="96"/>
      <c r="Q32" s="96"/>
      <c r="R32" s="97"/>
      <c r="S32" s="235" t="s">
        <v>509</v>
      </c>
      <c r="T32" s="5"/>
      <c r="W32" s="3"/>
    </row>
    <row r="33" spans="1:23" s="4" customFormat="1" ht="15" x14ac:dyDescent="0.25">
      <c r="A33" s="5"/>
      <c r="B33" s="105" t="s">
        <v>516</v>
      </c>
      <c r="C33" s="5"/>
      <c r="D33" s="94"/>
      <c r="E33" s="57"/>
      <c r="F33" s="95"/>
      <c r="G33" s="96"/>
      <c r="H33" s="5"/>
      <c r="I33" s="5"/>
      <c r="J33" s="97"/>
      <c r="K33" s="96"/>
      <c r="L33" s="96"/>
      <c r="M33" s="96"/>
      <c r="N33" s="96"/>
      <c r="O33" s="64"/>
      <c r="P33" s="96"/>
      <c r="Q33" s="96"/>
      <c r="R33" s="97"/>
      <c r="S33" s="235" t="s">
        <v>513</v>
      </c>
      <c r="T33" s="5"/>
      <c r="W33" s="3"/>
    </row>
    <row r="34" spans="1:23" s="4" customFormat="1" ht="15" x14ac:dyDescent="0.25">
      <c r="A34" s="5"/>
      <c r="B34" s="104" t="s">
        <v>517</v>
      </c>
      <c r="C34" s="5"/>
      <c r="D34" s="94"/>
      <c r="E34" s="57"/>
      <c r="F34" s="95"/>
      <c r="G34" s="96"/>
      <c r="H34" s="5"/>
      <c r="I34" s="5"/>
      <c r="J34" s="97"/>
      <c r="K34" s="96"/>
      <c r="L34" s="96"/>
      <c r="M34" s="96"/>
      <c r="N34" s="96"/>
      <c r="O34" s="64"/>
      <c r="P34" s="96"/>
      <c r="Q34" s="96"/>
      <c r="R34" s="97"/>
      <c r="S34" s="235"/>
      <c r="T34" s="5"/>
      <c r="W34" s="3"/>
    </row>
    <row r="35" spans="1:23" s="4" customFormat="1" ht="15" x14ac:dyDescent="0.25">
      <c r="A35" s="5"/>
      <c r="B35" s="104"/>
      <c r="C35" s="5"/>
      <c r="D35" s="94"/>
      <c r="E35" s="57"/>
      <c r="F35" s="95"/>
      <c r="G35" s="96"/>
      <c r="H35" s="5"/>
      <c r="I35" s="5"/>
      <c r="J35" s="97"/>
      <c r="K35" s="96"/>
      <c r="L35" s="96"/>
      <c r="M35" s="96"/>
      <c r="N35" s="96"/>
      <c r="O35" s="64"/>
      <c r="P35" s="96"/>
      <c r="Q35" s="96"/>
      <c r="R35" s="97"/>
      <c r="S35" s="235"/>
      <c r="T35" s="5"/>
      <c r="W35" s="3"/>
    </row>
    <row r="36" spans="1:23" s="4" customFormat="1" ht="15" x14ac:dyDescent="0.25">
      <c r="A36" s="5"/>
      <c r="B36" s="777" t="s">
        <v>754</v>
      </c>
      <c r="C36" s="5"/>
      <c r="D36" s="94"/>
      <c r="E36" s="57"/>
      <c r="F36" s="95"/>
      <c r="G36" s="96"/>
      <c r="H36" s="5"/>
      <c r="I36" s="5"/>
      <c r="J36" s="97"/>
      <c r="K36" s="96"/>
      <c r="L36" s="96"/>
      <c r="M36" s="96"/>
      <c r="N36" s="96"/>
      <c r="O36" s="64"/>
      <c r="P36" s="96"/>
      <c r="Q36" s="96"/>
      <c r="R36" s="97"/>
      <c r="S36" s="235" t="s">
        <v>518</v>
      </c>
      <c r="T36" s="5"/>
      <c r="W36" s="3"/>
    </row>
    <row r="37" spans="1:23" s="4" customFormat="1" ht="15" x14ac:dyDescent="0.25">
      <c r="A37" s="5"/>
      <c r="B37" s="637" t="s">
        <v>510</v>
      </c>
      <c r="C37" s="746" t="s">
        <v>756</v>
      </c>
      <c r="D37" s="854">
        <f>'Inputs and eligible population'!F29/'Inputs and eligible population'!F27</f>
        <v>0.90486416920363233</v>
      </c>
      <c r="E37" s="816"/>
      <c r="F37" s="95"/>
      <c r="G37" s="96"/>
      <c r="H37" s="5"/>
      <c r="I37" s="5"/>
      <c r="J37" s="97"/>
      <c r="K37" s="96"/>
      <c r="L37" s="96"/>
      <c r="M37" s="96"/>
      <c r="N37" s="817"/>
      <c r="O37" s="64"/>
      <c r="P37" s="96"/>
      <c r="Q37" s="96"/>
      <c r="R37" s="97"/>
      <c r="S37" s="235" t="s">
        <v>519</v>
      </c>
      <c r="T37" s="5"/>
      <c r="W37" s="3"/>
    </row>
    <row r="38" spans="1:23" s="4" customFormat="1" ht="15" x14ac:dyDescent="0.25">
      <c r="A38" s="5"/>
      <c r="B38" s="637" t="s">
        <v>514</v>
      </c>
      <c r="C38" s="746" t="s">
        <v>841</v>
      </c>
      <c r="D38" s="855">
        <f>100%-D37</f>
        <v>9.5135830796367671E-2</v>
      </c>
      <c r="E38" s="818"/>
      <c r="F38" s="95"/>
      <c r="G38" s="96"/>
      <c r="H38" s="5"/>
      <c r="I38" s="5"/>
      <c r="J38" s="97"/>
      <c r="K38" s="96"/>
      <c r="L38" s="96"/>
      <c r="M38" s="96"/>
      <c r="N38" s="817"/>
      <c r="O38" s="64"/>
      <c r="P38" s="96"/>
      <c r="Q38" s="96"/>
      <c r="R38" s="97"/>
      <c r="S38" s="235" t="s">
        <v>770</v>
      </c>
      <c r="T38" s="5"/>
      <c r="W38" s="3"/>
    </row>
    <row r="39" spans="1:23" s="4" customFormat="1" ht="15" x14ac:dyDescent="0.25">
      <c r="A39" s="5"/>
      <c r="B39" s="745"/>
      <c r="C39" s="5"/>
      <c r="D39" s="94"/>
      <c r="E39" s="57"/>
      <c r="F39" s="95"/>
      <c r="G39" s="96"/>
      <c r="H39" s="5"/>
      <c r="I39" s="5"/>
      <c r="J39" s="97"/>
      <c r="K39" s="96"/>
      <c r="L39" s="96"/>
      <c r="M39" s="96"/>
      <c r="N39" s="96"/>
      <c r="O39" s="64"/>
      <c r="P39" s="96"/>
      <c r="Q39" s="96"/>
      <c r="R39" s="97"/>
      <c r="S39" s="235" t="s">
        <v>771</v>
      </c>
      <c r="T39" s="5"/>
      <c r="W39" s="3"/>
    </row>
    <row r="40" spans="1:23" s="4" customFormat="1" ht="30" x14ac:dyDescent="0.25">
      <c r="A40" s="5"/>
      <c r="B40" s="635" t="s">
        <v>505</v>
      </c>
      <c r="C40" s="134" t="s">
        <v>506</v>
      </c>
      <c r="D40" s="136" t="s">
        <v>507</v>
      </c>
      <c r="E40" s="216"/>
      <c r="F40" s="217"/>
      <c r="G40" s="218"/>
      <c r="H40" s="219"/>
      <c r="I40" s="218"/>
      <c r="J40" s="219"/>
      <c r="K40" s="218"/>
      <c r="L40" s="219"/>
      <c r="M40" s="218"/>
      <c r="N40" s="479" t="s">
        <v>853</v>
      </c>
      <c r="O40" s="850" t="s">
        <v>947</v>
      </c>
      <c r="P40" s="96"/>
      <c r="Q40" s="96"/>
      <c r="R40" s="97"/>
      <c r="S40" s="235" t="s">
        <v>772</v>
      </c>
      <c r="T40" s="5"/>
      <c r="W40" s="3"/>
    </row>
    <row r="41" spans="1:23" s="4" customFormat="1" ht="15" x14ac:dyDescent="0.25">
      <c r="A41" s="5"/>
      <c r="B41" s="637" t="s">
        <v>510</v>
      </c>
      <c r="C41" s="638" t="s">
        <v>755</v>
      </c>
      <c r="D41" s="310" t="s">
        <v>521</v>
      </c>
      <c r="E41" s="314"/>
      <c r="F41" s="311"/>
      <c r="G41" s="312"/>
      <c r="H41" s="313"/>
      <c r="I41" s="313"/>
      <c r="J41" s="313"/>
      <c r="K41" s="313"/>
      <c r="L41" s="312"/>
      <c r="M41" s="639"/>
      <c r="N41" s="640">
        <f>(N24*D38)+(N25*D37)</f>
        <v>246.42274235539296</v>
      </c>
      <c r="O41" s="844"/>
      <c r="P41" s="96"/>
      <c r="Q41" s="96"/>
      <c r="R41" s="97"/>
      <c r="S41" s="235" t="s">
        <v>773</v>
      </c>
      <c r="T41" s="5"/>
      <c r="W41" s="3"/>
    </row>
    <row r="42" spans="1:23" s="4" customFormat="1" ht="15" x14ac:dyDescent="0.25">
      <c r="A42" s="5"/>
      <c r="B42" s="637" t="s">
        <v>514</v>
      </c>
      <c r="C42" s="638" t="s">
        <v>758</v>
      </c>
      <c r="D42" s="310" t="s">
        <v>521</v>
      </c>
      <c r="E42" s="314"/>
      <c r="F42" s="311"/>
      <c r="G42" s="312"/>
      <c r="H42" s="313"/>
      <c r="I42" s="313"/>
      <c r="J42" s="313"/>
      <c r="K42" s="313"/>
      <c r="L42" s="312"/>
      <c r="M42" s="639"/>
      <c r="N42" s="640">
        <f>(N31*D38)+(N32*D37)</f>
        <v>111.94706320141113</v>
      </c>
      <c r="O42" s="844"/>
      <c r="P42" s="96"/>
      <c r="Q42" s="96"/>
      <c r="R42" s="97"/>
      <c r="S42" s="235"/>
      <c r="T42" s="5"/>
      <c r="W42" s="3"/>
    </row>
    <row r="43" spans="1:23" s="4" customFormat="1" ht="15" x14ac:dyDescent="0.25">
      <c r="A43" s="5"/>
      <c r="B43" s="778" t="s">
        <v>783</v>
      </c>
      <c r="C43" s="779"/>
      <c r="D43" s="780"/>
      <c r="E43" s="781"/>
      <c r="F43" s="782"/>
      <c r="G43" s="783"/>
      <c r="H43" s="779"/>
      <c r="I43" s="779"/>
      <c r="J43" s="784"/>
      <c r="K43" s="783"/>
      <c r="L43" s="783"/>
      <c r="M43" s="783"/>
      <c r="N43" s="785">
        <f>AVERAGE(N41:N42)</f>
        <v>179.18490277840203</v>
      </c>
      <c r="O43" s="845">
        <f>N43*0.8</f>
        <v>143.34792222272162</v>
      </c>
      <c r="P43" s="96"/>
      <c r="Q43" s="96"/>
      <c r="R43" s="97"/>
      <c r="S43" s="235" t="s">
        <v>774</v>
      </c>
      <c r="T43" s="5"/>
      <c r="W43" s="3"/>
    </row>
    <row r="44" spans="1:23" s="4" customFormat="1" ht="27" customHeight="1" x14ac:dyDescent="0.25">
      <c r="A44" s="5"/>
      <c r="B44" s="1029" t="s">
        <v>757</v>
      </c>
      <c r="C44" s="1029"/>
      <c r="D44" s="1029"/>
      <c r="E44" s="1029"/>
      <c r="F44" s="1029"/>
      <c r="G44" s="96"/>
      <c r="H44" s="5"/>
      <c r="I44" s="5"/>
      <c r="J44" s="97"/>
      <c r="K44" s="96"/>
      <c r="L44" s="96"/>
      <c r="M44" s="96"/>
      <c r="N44" s="96"/>
      <c r="O44" s="96"/>
      <c r="P44" s="96"/>
      <c r="Q44" s="96"/>
      <c r="R44" s="97"/>
      <c r="S44" s="235" t="s">
        <v>775</v>
      </c>
      <c r="T44" s="5"/>
      <c r="W44" s="3"/>
    </row>
    <row r="45" spans="1:23" s="4" customFormat="1" ht="15" x14ac:dyDescent="0.25">
      <c r="A45" s="5"/>
      <c r="B45" s="104"/>
      <c r="C45" s="5"/>
      <c r="D45" s="94"/>
      <c r="E45" s="57"/>
      <c r="F45" s="95"/>
      <c r="G45" s="96"/>
      <c r="H45" s="5"/>
      <c r="I45" s="5"/>
      <c r="J45" s="97"/>
      <c r="K45" s="96"/>
      <c r="L45" s="96"/>
      <c r="M45" s="96"/>
      <c r="N45" s="96"/>
      <c r="O45" s="96"/>
      <c r="P45" s="96"/>
      <c r="Q45" s="96"/>
      <c r="R45" s="97"/>
      <c r="S45" s="235" t="s">
        <v>776</v>
      </c>
      <c r="T45" s="5"/>
      <c r="W45" s="3"/>
    </row>
    <row r="46" spans="1:23" s="4" customFormat="1" ht="15" x14ac:dyDescent="0.25">
      <c r="A46" s="5"/>
      <c r="B46" s="104"/>
      <c r="C46" s="5"/>
      <c r="D46" s="94"/>
      <c r="E46" s="57"/>
      <c r="F46" s="95"/>
      <c r="G46" s="96"/>
      <c r="H46" s="5"/>
      <c r="I46" s="5"/>
      <c r="J46" s="97"/>
      <c r="K46" s="96"/>
      <c r="L46" s="96"/>
      <c r="M46" s="96"/>
      <c r="N46" s="96"/>
      <c r="O46" s="96"/>
      <c r="P46" s="96"/>
      <c r="Q46" s="96"/>
      <c r="R46" s="97"/>
      <c r="S46" s="235" t="s">
        <v>777</v>
      </c>
      <c r="T46" s="5"/>
      <c r="W46" s="3"/>
    </row>
    <row r="47" spans="1:23" s="4" customFormat="1" ht="15" x14ac:dyDescent="0.25">
      <c r="A47" s="5"/>
      <c r="B47" s="131" t="s">
        <v>523</v>
      </c>
      <c r="C47" s="5"/>
      <c r="D47" s="5"/>
      <c r="E47" s="5"/>
      <c r="F47" s="5"/>
      <c r="G47" s="1020" t="s">
        <v>46</v>
      </c>
      <c r="H47" s="1021"/>
      <c r="I47" s="1020" t="s">
        <v>1049</v>
      </c>
      <c r="J47" s="1022"/>
      <c r="K47" s="96"/>
      <c r="L47" s="5"/>
      <c r="M47" s="5"/>
      <c r="N47" s="220"/>
      <c r="O47" s="5"/>
      <c r="P47" s="5"/>
      <c r="Q47" s="318"/>
      <c r="R47" s="5"/>
      <c r="S47" s="235" t="s">
        <v>778</v>
      </c>
      <c r="T47" s="5"/>
      <c r="W47" s="3"/>
    </row>
    <row r="48" spans="1:23" s="4" customFormat="1" ht="105" x14ac:dyDescent="0.25">
      <c r="A48" s="5"/>
      <c r="B48" s="479" t="s">
        <v>524</v>
      </c>
      <c r="C48" s="479" t="s">
        <v>928</v>
      </c>
      <c r="D48" s="641" t="s">
        <v>930</v>
      </c>
      <c r="E48" s="479" t="s">
        <v>795</v>
      </c>
      <c r="F48" s="5"/>
      <c r="G48" s="479" t="s">
        <v>931</v>
      </c>
      <c r="H48" s="479" t="s">
        <v>932</v>
      </c>
      <c r="I48" s="479" t="s">
        <v>525</v>
      </c>
      <c r="J48" s="479" t="s">
        <v>1050</v>
      </c>
      <c r="K48" s="96"/>
      <c r="L48" s="445"/>
      <c r="M48" s="445"/>
      <c r="N48" s="5"/>
      <c r="O48" s="445"/>
      <c r="P48" s="445"/>
      <c r="Q48" s="318"/>
      <c r="R48" s="5"/>
      <c r="S48" s="235" t="s">
        <v>779</v>
      </c>
      <c r="T48" s="5"/>
      <c r="W48" s="3"/>
    </row>
    <row r="49" spans="1:23" s="4" customFormat="1" ht="15" x14ac:dyDescent="0.25">
      <c r="A49" s="5"/>
      <c r="B49" s="642" t="s">
        <v>526</v>
      </c>
      <c r="C49" s="643">
        <f>-83%</f>
        <v>-0.83</v>
      </c>
      <c r="D49" s="839">
        <f>O105</f>
        <v>0.19539999999999999</v>
      </c>
      <c r="E49" s="644">
        <v>3</v>
      </c>
      <c r="F49" s="5"/>
      <c r="G49" s="645">
        <v>289</v>
      </c>
      <c r="H49" s="315">
        <f>G49*-E49</f>
        <v>-867</v>
      </c>
      <c r="I49" s="645">
        <f>G49*0.8</f>
        <v>231.20000000000002</v>
      </c>
      <c r="J49" s="640">
        <f>I49*-E49</f>
        <v>-693.6</v>
      </c>
      <c r="K49" s="96"/>
      <c r="L49" s="943"/>
      <c r="M49" s="446"/>
      <c r="N49" s="446"/>
      <c r="O49" s="446"/>
      <c r="P49" s="446"/>
      <c r="Q49" s="318"/>
      <c r="R49" s="5"/>
      <c r="S49" s="235" t="s">
        <v>780</v>
      </c>
      <c r="T49" s="5"/>
      <c r="W49" s="3"/>
    </row>
    <row r="50" spans="1:23" s="4" customFormat="1" ht="30" x14ac:dyDescent="0.25">
      <c r="A50" s="5"/>
      <c r="B50" s="941" t="s">
        <v>929</v>
      </c>
      <c r="C50" s="643">
        <f>-100%--7.77%</f>
        <v>-0.92230000000000001</v>
      </c>
      <c r="D50" s="447">
        <f>F172</f>
        <v>0.34733626437137488</v>
      </c>
      <c r="E50" s="644">
        <v>1</v>
      </c>
      <c r="F50" s="5"/>
      <c r="G50" s="645">
        <v>182</v>
      </c>
      <c r="H50" s="315">
        <f>-E50*G50</f>
        <v>-182</v>
      </c>
      <c r="I50" s="645">
        <f>G50*0.8</f>
        <v>145.6</v>
      </c>
      <c r="J50" s="640">
        <f>I50*-E50</f>
        <v>-145.6</v>
      </c>
      <c r="K50" s="96"/>
      <c r="L50" s="943"/>
      <c r="M50" s="446"/>
      <c r="N50" s="446"/>
      <c r="O50" s="446"/>
      <c r="P50" s="446"/>
      <c r="Q50" s="318"/>
      <c r="R50" s="5"/>
      <c r="S50" s="235"/>
      <c r="T50" s="5"/>
      <c r="W50" s="3"/>
    </row>
    <row r="51" spans="1:23" s="4" customFormat="1" ht="30" x14ac:dyDescent="0.25">
      <c r="A51" s="5"/>
      <c r="B51" s="942" t="s">
        <v>1048</v>
      </c>
      <c r="C51" s="956"/>
      <c r="D51" s="956"/>
      <c r="E51" s="644">
        <v>3</v>
      </c>
      <c r="F51" s="5"/>
      <c r="G51" s="645">
        <v>289</v>
      </c>
      <c r="H51" s="315">
        <f>G51*-E51</f>
        <v>-867</v>
      </c>
      <c r="I51" s="645">
        <f>G51*0.8</f>
        <v>231.20000000000002</v>
      </c>
      <c r="J51" s="640">
        <f>I51*-E51</f>
        <v>-693.6</v>
      </c>
      <c r="K51" s="96"/>
      <c r="L51" s="943"/>
      <c r="M51" s="446"/>
      <c r="N51" s="446"/>
      <c r="O51" s="446"/>
      <c r="P51" s="446"/>
      <c r="Q51" s="318"/>
      <c r="R51" s="5"/>
      <c r="S51" s="235"/>
      <c r="T51" s="5"/>
      <c r="W51" s="3"/>
    </row>
    <row r="52" spans="1:23" s="4" customFormat="1" ht="15" x14ac:dyDescent="0.25">
      <c r="A52" s="5"/>
      <c r="B52" s="5"/>
      <c r="C52" s="835"/>
      <c r="D52" s="835"/>
      <c r="E52" s="835"/>
      <c r="F52" s="5"/>
      <c r="G52" s="221"/>
      <c r="H52" s="836"/>
      <c r="I52" s="836"/>
      <c r="J52" s="836"/>
      <c r="K52" s="96"/>
      <c r="L52" s="5"/>
      <c r="M52" s="319"/>
      <c r="N52" s="319"/>
      <c r="O52" s="319"/>
      <c r="P52" s="319"/>
      <c r="Q52" s="318"/>
      <c r="R52" s="5"/>
      <c r="S52" s="235" t="s">
        <v>509</v>
      </c>
      <c r="T52" s="5"/>
      <c r="W52" s="3"/>
    </row>
    <row r="53" spans="1:23" s="4" customFormat="1" ht="30" customHeight="1" x14ac:dyDescent="0.25">
      <c r="A53" s="5"/>
      <c r="B53" s="923" t="s">
        <v>478</v>
      </c>
      <c r="C53" s="443"/>
      <c r="D53" s="443"/>
      <c r="E53" s="443"/>
      <c r="F53" s="5"/>
      <c r="G53" s="221"/>
      <c r="H53" s="319"/>
      <c r="I53" s="319"/>
      <c r="J53" s="319"/>
      <c r="K53" s="96"/>
      <c r="L53" s="5"/>
      <c r="M53" s="319"/>
      <c r="N53" s="319"/>
      <c r="O53" s="319"/>
      <c r="P53" s="319"/>
      <c r="Q53" s="318"/>
      <c r="R53" s="5"/>
      <c r="S53" s="235"/>
      <c r="T53" s="5"/>
      <c r="W53" s="3"/>
    </row>
    <row r="54" spans="1:23" s="4" customFormat="1" ht="15" x14ac:dyDescent="0.25">
      <c r="A54" s="5"/>
      <c r="B54" s="5" t="s">
        <v>933</v>
      </c>
      <c r="C54" s="443"/>
      <c r="D54" s="443"/>
      <c r="E54" s="443"/>
      <c r="F54" s="5"/>
      <c r="G54" s="221"/>
      <c r="H54" s="319"/>
      <c r="I54" s="319"/>
      <c r="J54" s="319"/>
      <c r="K54" s="96"/>
      <c r="L54" s="5"/>
      <c r="M54" s="319"/>
      <c r="N54" s="319"/>
      <c r="O54" s="319"/>
      <c r="P54" s="319"/>
      <c r="Q54" s="318"/>
      <c r="R54" s="5"/>
      <c r="S54" s="235" t="s">
        <v>781</v>
      </c>
      <c r="T54" s="5"/>
      <c r="W54" s="3"/>
    </row>
    <row r="55" spans="1:23" s="4" customFormat="1" ht="15" x14ac:dyDescent="0.25">
      <c r="A55" s="5"/>
      <c r="B55" s="180" t="s">
        <v>492</v>
      </c>
      <c r="C55" s="5"/>
      <c r="D55" s="5"/>
      <c r="E55" s="5"/>
      <c r="F55" s="5"/>
      <c r="G55" s="5"/>
      <c r="H55" s="5"/>
      <c r="I55" s="5"/>
      <c r="J55" s="5"/>
      <c r="K55" s="96"/>
      <c r="L55" s="5"/>
      <c r="M55" s="5"/>
      <c r="N55" s="5"/>
      <c r="O55" s="5"/>
      <c r="P55" s="5"/>
      <c r="Q55" s="5"/>
      <c r="R55" s="5"/>
      <c r="S55" s="235" t="s">
        <v>782</v>
      </c>
      <c r="T55" s="5"/>
      <c r="W55" s="3"/>
    </row>
    <row r="56" spans="1:23" s="4" customFormat="1" ht="33" customHeight="1" x14ac:dyDescent="0.25">
      <c r="A56" s="5"/>
      <c r="B56" s="992" t="s">
        <v>527</v>
      </c>
      <c r="C56" s="992"/>
      <c r="D56" s="992"/>
      <c r="E56" s="992"/>
      <c r="F56" s="992"/>
      <c r="G56" s="992"/>
      <c r="H56" s="992"/>
      <c r="I56" s="992"/>
      <c r="J56" s="992"/>
      <c r="K56" s="992"/>
      <c r="L56" s="992"/>
      <c r="M56" s="992"/>
      <c r="N56" s="992"/>
      <c r="O56" s="992"/>
      <c r="P56" s="992"/>
      <c r="Q56" s="5"/>
      <c r="R56" s="5"/>
      <c r="S56" s="776"/>
      <c r="T56" s="5"/>
      <c r="W56" s="3"/>
    </row>
    <row r="57" spans="1:23" s="4" customFormat="1" ht="23.45" customHeight="1" x14ac:dyDescent="0.25">
      <c r="A57" s="5"/>
      <c r="B57" s="992" t="s">
        <v>1051</v>
      </c>
      <c r="C57" s="992"/>
      <c r="D57" s="992"/>
      <c r="E57" s="992"/>
      <c r="F57" s="444"/>
      <c r="G57" s="944"/>
      <c r="H57" s="444"/>
      <c r="I57" s="944"/>
      <c r="J57" s="945"/>
      <c r="K57" s="444"/>
      <c r="L57" s="444"/>
      <c r="M57" s="444"/>
      <c r="N57" s="444"/>
      <c r="O57" s="444"/>
      <c r="P57" s="444"/>
      <c r="Q57" s="5"/>
      <c r="R57" s="5"/>
      <c r="S57" s="5"/>
      <c r="T57" s="5"/>
      <c r="W57" s="3"/>
    </row>
    <row r="58" spans="1:23" s="4" customFormat="1" ht="23.45" customHeight="1" x14ac:dyDescent="0.25">
      <c r="A58" s="5"/>
      <c r="B58" s="105" t="s">
        <v>528</v>
      </c>
      <c r="C58" s="444"/>
      <c r="D58" s="444"/>
      <c r="E58" s="444"/>
      <c r="F58" s="444"/>
      <c r="G58" s="946"/>
      <c r="H58" s="946"/>
      <c r="I58" s="946"/>
      <c r="J58" s="946"/>
      <c r="K58" s="946"/>
      <c r="L58" s="946"/>
      <c r="M58" s="946"/>
      <c r="N58" s="444"/>
      <c r="O58" s="444"/>
      <c r="P58" s="444"/>
      <c r="Q58" s="5"/>
      <c r="R58" s="5"/>
      <c r="S58" s="5"/>
      <c r="T58" s="5"/>
      <c r="W58" s="3"/>
    </row>
    <row r="59" spans="1:23" s="4" customFormat="1" ht="13.35" customHeight="1" x14ac:dyDescent="0.25">
      <c r="A59" s="5"/>
      <c r="B59" s="104" t="s">
        <v>517</v>
      </c>
      <c r="C59" s="444"/>
      <c r="D59" s="444"/>
      <c r="E59" s="444"/>
      <c r="F59" s="444"/>
      <c r="G59" s="444"/>
      <c r="H59" s="444"/>
      <c r="I59" s="444"/>
      <c r="J59" s="444"/>
      <c r="K59" s="444"/>
      <c r="L59" s="444"/>
      <c r="M59" s="444"/>
      <c r="N59" s="444"/>
      <c r="O59" s="444"/>
      <c r="P59" s="444"/>
      <c r="Q59" s="5"/>
      <c r="R59" s="5"/>
      <c r="S59" s="5"/>
      <c r="T59" s="5"/>
      <c r="W59" s="3"/>
    </row>
    <row r="60" spans="1:23" s="4" customFormat="1" ht="20.45" customHeight="1" x14ac:dyDescent="0.25">
      <c r="A60" s="5"/>
      <c r="B60" t="s">
        <v>529</v>
      </c>
      <c r="C60" s="444"/>
      <c r="D60" s="444"/>
      <c r="E60" s="444"/>
      <c r="F60" s="853"/>
      <c r="G60" s="444"/>
      <c r="H60" s="444"/>
      <c r="I60" s="947"/>
      <c r="J60" s="853"/>
      <c r="K60" s="444"/>
      <c r="L60" s="444"/>
      <c r="M60" s="444"/>
      <c r="N60" s="444"/>
      <c r="O60" s="444"/>
      <c r="P60" s="444"/>
      <c r="Q60" s="5"/>
      <c r="R60" s="5"/>
      <c r="S60" s="5"/>
      <c r="T60" s="5"/>
      <c r="W60" s="3"/>
    </row>
    <row r="61" spans="1:23" s="4" customFormat="1" ht="20.45" customHeight="1" x14ac:dyDescent="0.25">
      <c r="A61" s="5"/>
      <c r="B61" s="107" t="s">
        <v>934</v>
      </c>
      <c r="C61" s="444"/>
      <c r="D61" s="444"/>
      <c r="E61" s="444"/>
      <c r="F61" s="444"/>
      <c r="G61" s="444"/>
      <c r="H61" s="444"/>
      <c r="I61" s="944"/>
      <c r="J61" s="944"/>
      <c r="K61" s="444"/>
      <c r="L61" s="444"/>
      <c r="M61" s="444"/>
      <c r="N61" s="444"/>
      <c r="O61" s="444"/>
      <c r="P61" s="444"/>
      <c r="Q61" s="5"/>
      <c r="R61" s="5"/>
      <c r="S61" s="5"/>
      <c r="T61" s="5"/>
      <c r="W61" s="3"/>
    </row>
    <row r="62" spans="1:23" s="4" customFormat="1" ht="20.45" customHeight="1" x14ac:dyDescent="0.25">
      <c r="A62" s="5"/>
      <c r="B62" s="180" t="s">
        <v>893</v>
      </c>
      <c r="C62" s="444"/>
      <c r="D62" s="444"/>
      <c r="E62" s="444"/>
      <c r="F62" s="444"/>
      <c r="G62" s="444"/>
      <c r="H62" s="444"/>
      <c r="I62" s="444"/>
      <c r="J62" s="444"/>
      <c r="K62" s="444"/>
      <c r="L62" s="444"/>
      <c r="M62" s="444"/>
      <c r="N62" s="444"/>
      <c r="O62" s="444"/>
      <c r="P62" s="444"/>
      <c r="Q62" s="5"/>
      <c r="R62" s="5"/>
      <c r="S62" s="5"/>
      <c r="T62" s="5"/>
      <c r="W62" s="3"/>
    </row>
    <row r="63" spans="1:23" s="4" customFormat="1" ht="29.45" customHeight="1" x14ac:dyDescent="0.2">
      <c r="A63" s="5"/>
      <c r="B63" s="1026" t="s">
        <v>1052</v>
      </c>
      <c r="C63" s="1026"/>
      <c r="D63" s="1026"/>
      <c r="E63" s="1026"/>
      <c r="F63" s="1026"/>
      <c r="G63" s="1026"/>
      <c r="H63" s="1026"/>
      <c r="I63" s="1026"/>
      <c r="J63" s="1026"/>
      <c r="K63" s="1026"/>
      <c r="L63" s="1026"/>
      <c r="M63" s="1026"/>
      <c r="N63" s="1026"/>
      <c r="O63" s="1026"/>
      <c r="P63" s="1026"/>
      <c r="Q63" s="5"/>
      <c r="R63" s="5"/>
      <c r="S63" s="5"/>
      <c r="T63" s="5"/>
      <c r="W63" s="3"/>
    </row>
    <row r="64" spans="1:23" s="4" customFormat="1" ht="16.149999999999999" customHeight="1" x14ac:dyDescent="0.25">
      <c r="A64" s="5"/>
      <c r="B64" s="948" t="s">
        <v>1053</v>
      </c>
      <c r="C64" s="444"/>
      <c r="D64" s="444"/>
      <c r="E64" s="444"/>
      <c r="F64" s="444"/>
      <c r="G64" s="444"/>
      <c r="H64" s="444"/>
      <c r="I64" s="444"/>
      <c r="J64" s="444"/>
      <c r="K64" s="444"/>
      <c r="L64" s="444"/>
      <c r="M64" s="444"/>
      <c r="N64" s="444"/>
      <c r="O64" s="444"/>
      <c r="P64" s="444"/>
      <c r="Q64" s="5"/>
      <c r="R64" s="5"/>
      <c r="S64" s="5"/>
      <c r="T64" s="5"/>
      <c r="W64" s="3"/>
    </row>
    <row r="65" spans="1:23" s="4" customFormat="1" ht="20.45" customHeight="1" x14ac:dyDescent="0.25">
      <c r="A65" s="5"/>
      <c r="B65" s="103" t="s">
        <v>936</v>
      </c>
      <c r="C65" s="444"/>
      <c r="D65" s="444"/>
      <c r="E65" s="444"/>
      <c r="F65" s="444"/>
      <c r="G65" s="444"/>
      <c r="H65" s="444"/>
      <c r="I65" s="444"/>
      <c r="J65" s="444"/>
      <c r="K65" s="444"/>
      <c r="L65" s="444"/>
      <c r="M65" s="444"/>
      <c r="N65" s="444"/>
      <c r="O65" s="444"/>
      <c r="P65" s="444"/>
      <c r="Q65" s="5"/>
      <c r="R65" s="5"/>
      <c r="S65" s="5"/>
      <c r="T65" s="5"/>
      <c r="W65" s="3"/>
    </row>
    <row r="66" spans="1:23" s="4" customFormat="1" ht="28.35" customHeight="1" x14ac:dyDescent="0.25">
      <c r="A66" s="5"/>
      <c r="B66" s="73" t="s">
        <v>827</v>
      </c>
      <c r="C66" s="444"/>
      <c r="D66" s="444"/>
      <c r="E66" s="444"/>
      <c r="F66" s="444"/>
      <c r="G66" s="444"/>
      <c r="H66" s="444"/>
      <c r="I66" s="444"/>
      <c r="J66" s="444"/>
      <c r="K66" s="444"/>
      <c r="L66" s="444"/>
      <c r="M66" s="444"/>
      <c r="N66" s="444"/>
      <c r="O66" s="444"/>
      <c r="P66" s="444"/>
      <c r="Q66" s="5"/>
      <c r="R66" s="5"/>
      <c r="S66" s="5"/>
      <c r="T66" s="5"/>
      <c r="W66" s="3"/>
    </row>
    <row r="67" spans="1:23" s="4" customFormat="1" ht="14.45" customHeight="1" x14ac:dyDescent="0.25">
      <c r="A67" s="5"/>
      <c r="B67" s="73"/>
      <c r="C67" s="444"/>
      <c r="D67" s="444"/>
      <c r="E67" s="444"/>
      <c r="F67" s="444"/>
      <c r="G67" s="444"/>
      <c r="H67" s="444"/>
      <c r="I67" s="444"/>
      <c r="J67" s="444"/>
      <c r="K67" s="444"/>
      <c r="L67" s="444"/>
      <c r="M67" s="444"/>
      <c r="N67" s="444"/>
      <c r="O67" s="444"/>
      <c r="P67" s="444"/>
      <c r="Q67" s="5"/>
      <c r="R67" s="5"/>
      <c r="S67" s="5"/>
      <c r="T67" s="5"/>
      <c r="W67" s="3"/>
    </row>
    <row r="68" spans="1:23" s="4" customFormat="1" ht="14.45" customHeight="1" x14ac:dyDescent="0.25">
      <c r="A68" s="5"/>
      <c r="B68" t="s">
        <v>815</v>
      </c>
      <c r="C68"/>
      <c r="D68" s="612" t="s">
        <v>465</v>
      </c>
      <c r="E68" s="433" t="s">
        <v>466</v>
      </c>
      <c r="F68" s="434" t="s">
        <v>467</v>
      </c>
      <c r="G68" s="434" t="s">
        <v>468</v>
      </c>
      <c r="H68" s="476" t="s">
        <v>469</v>
      </c>
      <c r="I68" s="476" t="s">
        <v>470</v>
      </c>
      <c r="J68"/>
      <c r="K68" s="612" t="s">
        <v>465</v>
      </c>
      <c r="L68" s="433" t="s">
        <v>466</v>
      </c>
      <c r="M68" s="434" t="s">
        <v>467</v>
      </c>
      <c r="N68" s="434" t="s">
        <v>468</v>
      </c>
      <c r="O68" s="476" t="s">
        <v>469</v>
      </c>
      <c r="P68" s="476" t="s">
        <v>470</v>
      </c>
      <c r="Q68" s="5"/>
      <c r="R68" s="5"/>
      <c r="S68" s="5"/>
      <c r="T68" s="5"/>
      <c r="W68" s="3"/>
    </row>
    <row r="69" spans="1:23" s="4" customFormat="1" ht="14.45" customHeight="1" x14ac:dyDescent="0.25">
      <c r="A69" s="5"/>
      <c r="B69"/>
      <c r="C69" s="800" t="s">
        <v>811</v>
      </c>
      <c r="D69" s="957">
        <v>300</v>
      </c>
      <c r="E69" s="957">
        <v>300</v>
      </c>
      <c r="F69" s="957">
        <v>300</v>
      </c>
      <c r="G69" s="957">
        <v>300</v>
      </c>
      <c r="H69" s="957">
        <v>300</v>
      </c>
      <c r="I69" s="957">
        <v>300</v>
      </c>
      <c r="J69"/>
      <c r="K69" s="488">
        <f>('Interventions inputs'!L28+'Interventions inputs'!L49)/'Unit costs'!D69</f>
        <v>33.044638551442056</v>
      </c>
      <c r="L69" s="488">
        <f>('Interventions inputs'!M28+'Interventions inputs'!M49)/'Unit costs'!E69</f>
        <v>33.308995659853593</v>
      </c>
      <c r="M69" s="488">
        <f>('Interventions inputs'!N28+'Interventions inputs'!N49)/'Unit costs'!F69</f>
        <v>33.575467625132433</v>
      </c>
      <c r="N69" s="488">
        <f>('Interventions inputs'!O28+'Interventions inputs'!O49)/'Unit costs'!G69</f>
        <v>33.844071366133484</v>
      </c>
      <c r="O69" s="488">
        <f>('Interventions inputs'!P28+'Interventions inputs'!P49)/'Unit costs'!H69</f>
        <v>34.114823937062553</v>
      </c>
      <c r="P69" s="488">
        <f>('Interventions inputs'!Q28+'Interventions inputs'!Q49)/'Unit costs'!I69</f>
        <v>34.387742528559059</v>
      </c>
      <c r="Q69" s="5"/>
      <c r="R69" s="5"/>
      <c r="S69" s="5"/>
      <c r="T69" s="5"/>
      <c r="W69" s="3"/>
    </row>
    <row r="70" spans="1:23" s="4" customFormat="1" ht="14.45" customHeight="1" x14ac:dyDescent="0.25">
      <c r="A70" s="5"/>
      <c r="B70"/>
      <c r="C70" s="800"/>
      <c r="D70" s="801"/>
      <c r="E70" s="801"/>
      <c r="F70" s="801"/>
      <c r="G70" s="801"/>
      <c r="H70" s="801"/>
      <c r="I70" s="801"/>
      <c r="J70"/>
      <c r="K70" s="802" t="s">
        <v>812</v>
      </c>
      <c r="L70" s="803">
        <f>L69-K69</f>
        <v>0.26435710841153792</v>
      </c>
      <c r="M70" s="803">
        <f>M69-L69</f>
        <v>0.26647196527883921</v>
      </c>
      <c r="N70" s="803">
        <f>N69-M69</f>
        <v>0.26860374100105133</v>
      </c>
      <c r="O70" s="803">
        <f>O69-N69</f>
        <v>0.27075257092906924</v>
      </c>
      <c r="P70" s="803">
        <f>P69-O69</f>
        <v>0.27291859149650577</v>
      </c>
      <c r="Q70" s="5"/>
      <c r="R70" s="5"/>
      <c r="S70" s="5"/>
      <c r="T70" s="5"/>
      <c r="W70" s="3"/>
    </row>
    <row r="71" spans="1:23" s="4" customFormat="1" ht="14.45" customHeight="1" x14ac:dyDescent="0.25">
      <c r="A71" s="5"/>
      <c r="B71"/>
      <c r="C71" s="804" t="s">
        <v>859</v>
      </c>
      <c r="D71" s="957">
        <v>300</v>
      </c>
      <c r="E71" s="957">
        <v>300</v>
      </c>
      <c r="F71" s="957">
        <v>300</v>
      </c>
      <c r="G71" s="957">
        <v>300</v>
      </c>
      <c r="H71" s="957">
        <v>300</v>
      </c>
      <c r="I71" s="957">
        <v>300</v>
      </c>
      <c r="J71" s="73"/>
      <c r="K71" s="488">
        <f>'Interventions inputs'!L29/'Unit costs'!D71</f>
        <v>2.0942208502606192</v>
      </c>
      <c r="L71" s="488">
        <f>'Interventions inputs'!M29/'Unit costs'!E71</f>
        <v>2.1109746170627042</v>
      </c>
      <c r="M71" s="488">
        <f>'Interventions inputs'!N29/'Unit costs'!F71</f>
        <v>2.1278624139992051</v>
      </c>
      <c r="N71" s="488">
        <f>'Interventions inputs'!O29/'Unit costs'!G71</f>
        <v>2.1448853133111991</v>
      </c>
      <c r="O71" s="488">
        <f>'Interventions inputs'!P29/'Unit costs'!H71</f>
        <v>2.1620443958176891</v>
      </c>
      <c r="P71" s="488">
        <f>'Interventions inputs'!Q29/'Unit costs'!I71</f>
        <v>2.1793407509842311</v>
      </c>
      <c r="Q71" s="5"/>
      <c r="R71" s="5"/>
      <c r="S71" s="5"/>
      <c r="T71" s="5"/>
      <c r="W71" s="3"/>
    </row>
    <row r="72" spans="1:23" s="4" customFormat="1" ht="14.45" customHeight="1" x14ac:dyDescent="0.25">
      <c r="A72" s="5"/>
      <c r="B72" s="348"/>
      <c r="C72" s="183"/>
      <c r="D72" s="805"/>
      <c r="E72" s="805"/>
      <c r="F72" s="805"/>
      <c r="G72" s="805"/>
      <c r="H72" s="805"/>
      <c r="I72" s="805"/>
      <c r="J72" s="73"/>
      <c r="K72" s="802" t="s">
        <v>812</v>
      </c>
      <c r="L72" s="806">
        <f>L71-K71</f>
        <v>1.6753766802084957E-2</v>
      </c>
      <c r="M72" s="489">
        <f>M71-L71</f>
        <v>1.6887796936500887E-2</v>
      </c>
      <c r="N72" s="489">
        <f>N71-M71</f>
        <v>1.7022899311994077E-2</v>
      </c>
      <c r="O72" s="489">
        <f>O71-N71</f>
        <v>1.7159082506490009E-2</v>
      </c>
      <c r="P72" s="489">
        <f>P71-O71</f>
        <v>1.7296355166541932E-2</v>
      </c>
      <c r="Q72" s="5"/>
      <c r="R72" s="5"/>
      <c r="S72" s="5"/>
      <c r="T72" s="5"/>
      <c r="W72" s="3"/>
    </row>
    <row r="73" spans="1:23" s="4" customFormat="1" ht="14.45" customHeight="1" x14ac:dyDescent="0.25">
      <c r="A73" s="5"/>
      <c r="B73"/>
      <c r="C73"/>
      <c r="D73" s="263"/>
      <c r="E73" s="263"/>
      <c r="F73" s="263"/>
      <c r="G73" s="263"/>
      <c r="H73" s="263"/>
      <c r="I73" s="263"/>
      <c r="J73"/>
      <c r="K73" s="236"/>
      <c r="L73" s="236"/>
      <c r="M73" s="236"/>
      <c r="N73" s="236"/>
      <c r="O73" s="236"/>
      <c r="P73" s="236"/>
      <c r="Q73" s="5"/>
      <c r="R73" s="5"/>
      <c r="S73" s="5"/>
      <c r="T73" s="5"/>
      <c r="W73" s="3"/>
    </row>
    <row r="74" spans="1:23" s="4" customFormat="1" ht="14.45" customHeight="1" x14ac:dyDescent="0.25">
      <c r="A74" s="5"/>
      <c r="B74" t="s">
        <v>816</v>
      </c>
      <c r="C74"/>
      <c r="D74" s="263"/>
      <c r="E74" s="263"/>
      <c r="F74" s="263"/>
      <c r="G74" s="263"/>
      <c r="H74" s="263"/>
      <c r="I74" s="263"/>
      <c r="J74"/>
      <c r="K74" s="236"/>
      <c r="L74" s="236"/>
      <c r="M74" s="236"/>
      <c r="N74" s="236"/>
      <c r="O74" s="236"/>
      <c r="P74" s="236"/>
      <c r="Q74" s="5"/>
      <c r="R74" s="5"/>
      <c r="S74" s="5"/>
      <c r="T74" s="5"/>
      <c r="W74" s="3"/>
    </row>
    <row r="75" spans="1:23" s="4" customFormat="1" ht="14.45" customHeight="1" x14ac:dyDescent="0.25">
      <c r="A75" s="5"/>
      <c r="B75" s="73"/>
      <c r="C75" s="800" t="s">
        <v>813</v>
      </c>
      <c r="D75" s="957">
        <v>300</v>
      </c>
      <c r="E75" s="957">
        <v>300</v>
      </c>
      <c r="F75" s="957">
        <v>300</v>
      </c>
      <c r="G75" s="957">
        <v>300</v>
      </c>
      <c r="H75" s="957">
        <v>300</v>
      </c>
      <c r="I75" s="957">
        <v>300</v>
      </c>
      <c r="J75"/>
      <c r="K75" s="488">
        <f>('Interventions inputs'!L23+'Interventions inputs'!L44)/'Unit costs'!D75</f>
        <v>98.251058278437895</v>
      </c>
      <c r="L75" s="488">
        <f>('Interventions inputs'!M23+'Interventions inputs'!M44)/'Unit costs'!E75</f>
        <v>105.63953786097645</v>
      </c>
      <c r="M75" s="488">
        <f>('Interventions inputs'!N23+'Interventions inputs'!N44)/'Unit costs'!F75</f>
        <v>113.13994504910579</v>
      </c>
      <c r="N75" s="488">
        <f>('Interventions inputs'!O23+'Interventions inputs'!O44)/'Unit costs'!G75</f>
        <v>120.75359782182207</v>
      </c>
      <c r="O75" s="488">
        <f>('Interventions inputs'!P23+'Interventions inputs'!P44)/'Unit costs'!H75</f>
        <v>128.48182808241867</v>
      </c>
      <c r="P75" s="488">
        <f>('Interventions inputs'!Q23+'Interventions inputs'!Q44)/'Unit costs'!I75</f>
        <v>136.32598179692425</v>
      </c>
      <c r="Q75" s="5"/>
      <c r="R75" s="5"/>
      <c r="S75" s="5"/>
      <c r="T75" s="5"/>
      <c r="W75" s="3"/>
    </row>
    <row r="76" spans="1:23" s="4" customFormat="1" ht="14.45" customHeight="1" x14ac:dyDescent="0.25">
      <c r="A76" s="5"/>
      <c r="B76"/>
      <c r="C76"/>
      <c r="D76" s="263"/>
      <c r="E76" s="263"/>
      <c r="F76" s="263"/>
      <c r="G76" s="263"/>
      <c r="H76" s="263"/>
      <c r="I76" s="263"/>
      <c r="J76" s="73"/>
      <c r="K76" s="802" t="s">
        <v>812</v>
      </c>
      <c r="L76" s="489">
        <f>L75-K75</f>
        <v>7.388479582538551</v>
      </c>
      <c r="M76" s="489">
        <f>M75-L75</f>
        <v>7.5004071881293441</v>
      </c>
      <c r="N76" s="489">
        <f>N75-M75</f>
        <v>7.6136527727162786</v>
      </c>
      <c r="O76" s="489">
        <f>O75-N75</f>
        <v>7.7282302605966038</v>
      </c>
      <c r="P76" s="489">
        <f>P75-O75</f>
        <v>7.8441537145055804</v>
      </c>
      <c r="Q76" s="5"/>
      <c r="R76" s="5"/>
      <c r="S76" s="5"/>
      <c r="T76" s="5"/>
      <c r="W76" s="3"/>
    </row>
    <row r="77" spans="1:23" s="4" customFormat="1" ht="14.45" customHeight="1" x14ac:dyDescent="0.25">
      <c r="A77" s="5"/>
      <c r="B77"/>
      <c r="C77" s="804" t="s">
        <v>859</v>
      </c>
      <c r="D77" s="957">
        <v>300</v>
      </c>
      <c r="E77" s="957">
        <v>300</v>
      </c>
      <c r="F77" s="957">
        <v>300</v>
      </c>
      <c r="G77" s="957">
        <v>300</v>
      </c>
      <c r="H77" s="957">
        <v>300</v>
      </c>
      <c r="I77" s="957">
        <v>300</v>
      </c>
      <c r="J77" s="73"/>
      <c r="K77" s="488">
        <f>'Interventions inputs'!L24/'Unit costs'!D77</f>
        <v>28.210984754724372</v>
      </c>
      <c r="L77" s="488">
        <f>'Interventions inputs'!M24/'Unit costs'!E77</f>
        <v>28.282960888801288</v>
      </c>
      <c r="M77" s="488">
        <f>'Interventions inputs'!N24/'Unit costs'!F77</f>
        <v>28.354283137999129</v>
      </c>
      <c r="N77" s="488">
        <f>'Interventions inputs'!O24/'Unit costs'!G77</f>
        <v>28.424936433687265</v>
      </c>
      <c r="O77" s="488">
        <f>'Interventions inputs'!P24/'Unit costs'!H77</f>
        <v>28.494905507985575</v>
      </c>
      <c r="P77" s="488">
        <f>'Interventions inputs'!Q24/'Unit costs'!I77</f>
        <v>28.564174891540898</v>
      </c>
      <c r="Q77" s="5"/>
      <c r="R77" s="5"/>
      <c r="S77" s="5"/>
      <c r="T77" s="5"/>
      <c r="W77" s="3"/>
    </row>
    <row r="78" spans="1:23" s="4" customFormat="1" ht="14.45" customHeight="1" x14ac:dyDescent="0.25">
      <c r="A78" s="5"/>
      <c r="B78"/>
      <c r="C78" s="183"/>
      <c r="D78" s="805"/>
      <c r="E78" s="805"/>
      <c r="F78" s="805"/>
      <c r="G78" s="805"/>
      <c r="H78" s="805"/>
      <c r="I78" s="805"/>
      <c r="J78" s="73"/>
      <c r="K78" s="802" t="s">
        <v>812</v>
      </c>
      <c r="L78" s="806">
        <f>L77-K77</f>
        <v>7.1976134076916054E-2</v>
      </c>
      <c r="M78" s="806">
        <f>M77-L77</f>
        <v>7.1322249197841359E-2</v>
      </c>
      <c r="N78" s="806">
        <f>N77-M77</f>
        <v>7.0653295688135387E-2</v>
      </c>
      <c r="O78" s="806">
        <f>O77-N77</f>
        <v>6.9969074298310119E-2</v>
      </c>
      <c r="P78" s="489">
        <f>P77-O77</f>
        <v>6.9269383555322861E-2</v>
      </c>
      <c r="Q78" s="5"/>
      <c r="R78" s="5"/>
      <c r="S78" s="5"/>
      <c r="T78" s="5"/>
      <c r="W78" s="3"/>
    </row>
    <row r="79" spans="1:23" s="4" customFormat="1" ht="14.45" customHeight="1" x14ac:dyDescent="0.25">
      <c r="A79" s="5"/>
      <c r="B79" s="107" t="s">
        <v>478</v>
      </c>
      <c r="C79"/>
      <c r="D79" s="263"/>
      <c r="E79" s="263"/>
      <c r="F79" s="263"/>
      <c r="G79" s="263"/>
      <c r="H79" s="263"/>
      <c r="I79" s="263"/>
      <c r="J79"/>
      <c r="K79" s="236"/>
      <c r="L79" s="236"/>
      <c r="M79" s="236"/>
      <c r="N79" s="236"/>
      <c r="O79" s="236"/>
      <c r="P79" s="236"/>
      <c r="Q79" s="5"/>
      <c r="R79" s="5"/>
      <c r="S79" s="5"/>
      <c r="T79" s="5"/>
      <c r="W79" s="3"/>
    </row>
    <row r="80" spans="1:23" s="4" customFormat="1" ht="14.45" customHeight="1" x14ac:dyDescent="0.25">
      <c r="A80" s="5"/>
      <c r="B80" t="s">
        <v>860</v>
      </c>
      <c r="C80"/>
      <c r="D80" s="263"/>
      <c r="E80" s="263"/>
      <c r="F80" s="263"/>
      <c r="G80" s="263"/>
      <c r="H80" s="263"/>
      <c r="I80" s="263"/>
      <c r="J80"/>
      <c r="K80" s="236"/>
      <c r="L80" s="236"/>
      <c r="M80" s="236"/>
      <c r="N80" s="236"/>
      <c r="O80" s="236"/>
      <c r="P80" s="236"/>
      <c r="Q80" s="5"/>
      <c r="R80" s="5"/>
      <c r="S80" s="5"/>
      <c r="T80" s="5"/>
      <c r="W80" s="3"/>
    </row>
    <row r="81" spans="1:23" s="4" customFormat="1" ht="14.45" customHeight="1" x14ac:dyDescent="0.25">
      <c r="A81" s="5"/>
      <c r="B81" s="180" t="s">
        <v>480</v>
      </c>
      <c r="C81"/>
      <c r="D81" s="263"/>
      <c r="E81" s="263"/>
      <c r="F81" s="263"/>
      <c r="G81" s="263"/>
      <c r="H81" s="263"/>
      <c r="I81" s="263"/>
      <c r="J81"/>
      <c r="K81" s="236"/>
      <c r="L81" s="236"/>
      <c r="M81" s="236"/>
      <c r="N81" s="236"/>
      <c r="O81" s="236"/>
      <c r="P81" s="236"/>
      <c r="Q81" s="5"/>
      <c r="R81" s="5"/>
      <c r="S81" s="5"/>
      <c r="T81" s="5"/>
      <c r="W81" s="3"/>
    </row>
    <row r="82" spans="1:23" s="4" customFormat="1" ht="13.9" customHeight="1" x14ac:dyDescent="0.25">
      <c r="A82" s="5"/>
      <c r="B82" t="s">
        <v>814</v>
      </c>
      <c r="C82"/>
      <c r="D82" s="263"/>
      <c r="E82" s="263"/>
      <c r="F82" s="263"/>
      <c r="G82" s="263"/>
      <c r="H82" s="263"/>
      <c r="I82" s="263"/>
      <c r="J82"/>
      <c r="K82" s="236"/>
      <c r="L82" s="236"/>
      <c r="M82" s="236"/>
      <c r="N82" s="236"/>
      <c r="O82" s="236"/>
      <c r="P82" s="236"/>
      <c r="Q82" s="5"/>
      <c r="R82" s="5"/>
      <c r="S82" s="5"/>
      <c r="T82" s="5"/>
      <c r="W82" s="3"/>
    </row>
    <row r="83" spans="1:23" s="4" customFormat="1" ht="31.9" customHeight="1" x14ac:dyDescent="0.25">
      <c r="A83" s="5"/>
      <c r="B83" s="992" t="s">
        <v>861</v>
      </c>
      <c r="C83" s="992"/>
      <c r="D83" s="992"/>
      <c r="E83" s="992"/>
      <c r="F83" s="992"/>
      <c r="G83" s="992"/>
      <c r="H83" s="992"/>
      <c r="I83" s="992"/>
      <c r="J83" s="992"/>
      <c r="K83" s="992"/>
      <c r="L83" s="992"/>
      <c r="M83" s="992"/>
      <c r="N83" s="992"/>
      <c r="O83" s="992"/>
      <c r="P83" s="992"/>
      <c r="Q83" s="5"/>
      <c r="R83" s="5"/>
      <c r="S83" s="5"/>
      <c r="T83" s="5"/>
      <c r="W83" s="3"/>
    </row>
    <row r="84" spans="1:23" s="4" customFormat="1" ht="16.149999999999999" customHeight="1" x14ac:dyDescent="0.25">
      <c r="A84" s="5"/>
      <c r="B84" s="992" t="s">
        <v>891</v>
      </c>
      <c r="C84" s="992"/>
      <c r="D84" s="992"/>
      <c r="E84" s="992"/>
      <c r="F84" s="444"/>
      <c r="G84" s="444"/>
      <c r="H84" s="444"/>
      <c r="I84" s="444"/>
      <c r="J84" s="444"/>
      <c r="K84" s="444"/>
      <c r="L84" s="807"/>
      <c r="M84" s="444"/>
      <c r="N84" s="444"/>
      <c r="O84" s="444"/>
      <c r="P84" s="444"/>
      <c r="Q84" s="5"/>
      <c r="R84" s="5"/>
      <c r="S84" s="5"/>
      <c r="T84" s="5"/>
      <c r="W84" s="3"/>
    </row>
    <row r="85" spans="1:23" s="4" customFormat="1" ht="16.899999999999999" customHeight="1" x14ac:dyDescent="0.25">
      <c r="A85" s="5"/>
      <c r="B85"/>
      <c r="C85" s="444"/>
      <c r="D85" s="444"/>
      <c r="E85" s="444"/>
      <c r="F85" s="444"/>
      <c r="G85" s="444"/>
      <c r="H85" s="444"/>
      <c r="I85" s="444"/>
      <c r="J85" s="444"/>
      <c r="K85" s="444"/>
      <c r="L85" s="444"/>
      <c r="M85" s="444"/>
      <c r="N85" s="444"/>
      <c r="O85" s="444"/>
      <c r="P85" s="444"/>
      <c r="Q85" s="5"/>
      <c r="R85" s="5"/>
      <c r="S85" s="5"/>
      <c r="T85" s="5"/>
      <c r="W85" s="3"/>
    </row>
    <row r="86" spans="1:23" s="4" customFormat="1" ht="28.35" customHeight="1" x14ac:dyDescent="0.25">
      <c r="A86" s="5"/>
      <c r="B86" s="646" t="s">
        <v>530</v>
      </c>
      <c r="C86" s="112" t="s">
        <v>817</v>
      </c>
      <c r="D86" s="110"/>
      <c r="E86" s="110"/>
      <c r="F86" s="110"/>
      <c r="G86" s="506"/>
      <c r="H86" s="485" t="s">
        <v>531</v>
      </c>
      <c r="I86" s="612" t="s">
        <v>532</v>
      </c>
      <c r="J86" s="507" t="s">
        <v>533</v>
      </c>
      <c r="K86" s="138"/>
      <c r="L86" s="138"/>
      <c r="M86" s="138"/>
      <c r="N86" s="138"/>
      <c r="O86" s="506"/>
      <c r="P86" s="444"/>
      <c r="Q86" s="5"/>
      <c r="R86" s="5"/>
      <c r="S86" s="5"/>
      <c r="T86" s="5"/>
      <c r="W86" s="3"/>
    </row>
    <row r="87" spans="1:23" s="4" customFormat="1" ht="28.35" customHeight="1" x14ac:dyDescent="0.25">
      <c r="A87" s="5"/>
      <c r="B87" s="628" t="s">
        <v>534</v>
      </c>
      <c r="C87" s="493" t="s">
        <v>535</v>
      </c>
      <c r="D87" s="109"/>
      <c r="E87" s="109"/>
      <c r="F87" s="109"/>
      <c r="G87" s="106"/>
      <c r="H87" s="647">
        <v>1250</v>
      </c>
      <c r="I87" s="648">
        <v>0.2</v>
      </c>
      <c r="J87" s="1" t="s">
        <v>1057</v>
      </c>
      <c r="K87"/>
      <c r="L87"/>
      <c r="M87"/>
      <c r="N87"/>
      <c r="O87" s="79"/>
      <c r="P87" s="444"/>
      <c r="Q87" s="5"/>
      <c r="R87" s="5"/>
      <c r="S87" s="5"/>
      <c r="T87" s="5"/>
      <c r="W87" s="3"/>
    </row>
    <row r="88" spans="1:23" s="4" customFormat="1" ht="27.6" customHeight="1" x14ac:dyDescent="0.25">
      <c r="A88" s="5"/>
      <c r="B88" s="628" t="s">
        <v>484</v>
      </c>
      <c r="C88" s="493" t="s">
        <v>535</v>
      </c>
      <c r="D88" s="109"/>
      <c r="E88" s="109"/>
      <c r="F88" s="109"/>
      <c r="G88" s="106"/>
      <c r="H88" s="647">
        <v>1174.1300000000001</v>
      </c>
      <c r="I88" s="648">
        <v>0.2</v>
      </c>
      <c r="J88" s="1006" t="s">
        <v>536</v>
      </c>
      <c r="K88" s="1007"/>
      <c r="L88" s="1007"/>
      <c r="M88" s="1007"/>
      <c r="N88" s="1007"/>
      <c r="O88" s="1008"/>
      <c r="P88" s="444"/>
      <c r="Q88" s="5"/>
      <c r="R88" s="5"/>
      <c r="S88" s="5"/>
      <c r="T88" s="5"/>
      <c r="W88" s="3"/>
    </row>
    <row r="89" spans="1:23" s="4" customFormat="1" ht="15.6" customHeight="1" x14ac:dyDescent="0.25">
      <c r="A89" s="5"/>
      <c r="B89" s="959" t="s">
        <v>537</v>
      </c>
      <c r="C89" s="960"/>
      <c r="D89" s="961"/>
      <c r="E89" s="961"/>
      <c r="F89" s="961"/>
      <c r="G89" s="962"/>
      <c r="H89" s="647"/>
      <c r="I89" s="648">
        <v>0.2</v>
      </c>
      <c r="J89" s="508"/>
      <c r="K89" s="504"/>
      <c r="L89" s="504"/>
      <c r="M89" s="504"/>
      <c r="N89" s="504"/>
      <c r="O89" s="505"/>
      <c r="P89" s="444"/>
      <c r="Q89" s="5"/>
      <c r="R89" s="5"/>
      <c r="S89" s="5"/>
      <c r="T89" s="5"/>
      <c r="W89" s="3"/>
    </row>
    <row r="90" spans="1:23" s="4" customFormat="1" ht="17.45" customHeight="1" x14ac:dyDescent="0.25">
      <c r="A90" s="5"/>
      <c r="B90" s="808" t="s">
        <v>862</v>
      </c>
      <c r="C90" s="963"/>
      <c r="D90" s="964"/>
      <c r="E90" s="964"/>
      <c r="F90" s="964"/>
      <c r="G90" s="965"/>
      <c r="H90" s="958"/>
      <c r="I90" s="958"/>
      <c r="J90" s="963"/>
      <c r="K90" s="964"/>
      <c r="L90" s="964"/>
      <c r="M90" s="964"/>
      <c r="N90" s="964"/>
      <c r="O90" s="965"/>
      <c r="P90" s="444"/>
      <c r="Q90" s="5"/>
      <c r="R90" s="5"/>
      <c r="S90" s="5"/>
      <c r="T90" s="5"/>
      <c r="W90" s="3"/>
    </row>
    <row r="91" spans="1:23" s="4" customFormat="1" ht="18.600000000000001" customHeight="1" x14ac:dyDescent="0.25">
      <c r="A91" s="5"/>
      <c r="B91" s="809" t="s">
        <v>863</v>
      </c>
      <c r="C91" s="963"/>
      <c r="D91" s="964"/>
      <c r="E91" s="964"/>
      <c r="F91" s="964"/>
      <c r="G91" s="965"/>
      <c r="H91" s="958"/>
      <c r="I91" s="958"/>
      <c r="J91" s="966"/>
      <c r="K91" s="967"/>
      <c r="L91" s="967"/>
      <c r="M91" s="967"/>
      <c r="N91" s="967"/>
      <c r="O91" s="968"/>
      <c r="P91" s="444"/>
      <c r="Q91" s="5"/>
      <c r="R91" s="5"/>
      <c r="S91" s="5"/>
      <c r="T91" s="5"/>
      <c r="W91" s="3"/>
    </row>
    <row r="92" spans="1:23" s="4" customFormat="1" ht="16.149999999999999" customHeight="1" x14ac:dyDescent="0.25">
      <c r="A92" s="5"/>
      <c r="B92" s="809" t="s">
        <v>818</v>
      </c>
      <c r="C92" s="963"/>
      <c r="D92" s="964"/>
      <c r="E92" s="964"/>
      <c r="F92" s="964"/>
      <c r="G92" s="964"/>
      <c r="H92" s="958"/>
      <c r="I92" s="958"/>
      <c r="J92" s="964"/>
      <c r="K92" s="964"/>
      <c r="L92" s="964"/>
      <c r="M92" s="964"/>
      <c r="N92" s="964"/>
      <c r="O92" s="965"/>
      <c r="P92" s="444"/>
      <c r="Q92" s="5"/>
      <c r="R92" s="5"/>
      <c r="S92" s="5"/>
      <c r="T92" s="5"/>
      <c r="W92" s="3"/>
    </row>
    <row r="93" spans="1:23" s="4" customFormat="1" ht="18" customHeight="1" x14ac:dyDescent="0.25">
      <c r="A93" s="5"/>
      <c r="B93" s="353" t="s">
        <v>538</v>
      </c>
      <c r="C93" s="353"/>
      <c r="D93" s="353"/>
      <c r="E93" s="353"/>
      <c r="F93" s="444"/>
      <c r="G93" s="444"/>
      <c r="H93" s="444"/>
      <c r="I93" s="444"/>
      <c r="J93" s="444"/>
      <c r="K93" s="444"/>
      <c r="L93" s="444"/>
      <c r="M93" s="444"/>
      <c r="N93" s="444"/>
      <c r="O93" s="444"/>
      <c r="P93" s="444"/>
      <c r="Q93" s="5"/>
      <c r="R93" s="5"/>
      <c r="S93" s="5"/>
      <c r="T93" s="5"/>
      <c r="W93" s="3"/>
    </row>
    <row r="94" spans="1:23" s="4" customFormat="1" ht="17.45" customHeight="1" x14ac:dyDescent="0.25">
      <c r="A94" s="5"/>
      <c r="B94" s="353" t="s">
        <v>536</v>
      </c>
      <c r="C94" s="494"/>
      <c r="D94" s="494"/>
      <c r="E94" s="494"/>
      <c r="F94" s="444"/>
      <c r="G94" s="444"/>
      <c r="H94" s="444"/>
      <c r="I94" s="444"/>
      <c r="J94" s="444"/>
      <c r="K94" s="444"/>
      <c r="L94" s="444"/>
      <c r="M94" s="444"/>
      <c r="N94" s="444"/>
      <c r="O94" s="444"/>
      <c r="P94" s="444"/>
      <c r="Q94" s="5"/>
      <c r="R94" s="5"/>
      <c r="S94" s="5"/>
      <c r="T94" s="5"/>
      <c r="W94" s="3"/>
    </row>
    <row r="95" spans="1:23" s="4" customFormat="1" ht="14.45" customHeight="1" x14ac:dyDescent="0.25">
      <c r="A95" s="5"/>
      <c r="B95" s="494" t="s">
        <v>539</v>
      </c>
      <c r="C95" s="494"/>
      <c r="D95" s="494"/>
      <c r="E95" s="494"/>
      <c r="F95" s="444"/>
      <c r="G95" s="444"/>
      <c r="H95" s="444"/>
      <c r="I95" s="444"/>
      <c r="J95" s="444"/>
      <c r="K95" s="444"/>
      <c r="L95" s="444"/>
      <c r="M95" s="444"/>
      <c r="N95" s="444"/>
      <c r="O95" s="444"/>
      <c r="P95" s="444"/>
      <c r="Q95" s="5"/>
      <c r="R95" s="5"/>
      <c r="S95" s="5"/>
      <c r="T95" s="5"/>
      <c r="W95" s="3"/>
    </row>
    <row r="96" spans="1:23" s="4" customFormat="1" ht="15" customHeight="1" x14ac:dyDescent="0.25">
      <c r="A96" s="5"/>
      <c r="B96" s="353" t="s">
        <v>536</v>
      </c>
      <c r="C96" s="494"/>
      <c r="D96" s="494"/>
      <c r="E96" s="494"/>
      <c r="F96" s="444"/>
      <c r="G96" s="444"/>
      <c r="H96" s="444"/>
      <c r="I96" s="444"/>
      <c r="J96" s="444"/>
      <c r="K96" s="444"/>
      <c r="L96" s="444"/>
      <c r="M96" s="444"/>
      <c r="N96" s="444"/>
      <c r="O96" s="444"/>
      <c r="P96" s="444"/>
      <c r="Q96" s="5"/>
      <c r="R96" s="5"/>
      <c r="S96" s="5"/>
      <c r="T96" s="5"/>
      <c r="W96" s="3"/>
    </row>
    <row r="97" spans="1:23" s="4" customFormat="1" ht="15" x14ac:dyDescent="0.25">
      <c r="A97" s="5"/>
      <c r="B97"/>
      <c r="C97" s="5"/>
      <c r="D97" s="5"/>
      <c r="E97" s="5"/>
      <c r="F97" s="5"/>
      <c r="G97" s="5"/>
      <c r="H97" s="5"/>
      <c r="I97" s="5"/>
      <c r="J97" s="5"/>
      <c r="K97" s="5"/>
      <c r="L97" s="5"/>
      <c r="M97" s="5"/>
      <c r="N97" s="5"/>
      <c r="O97" s="5"/>
      <c r="P97" s="5"/>
      <c r="Q97" s="5"/>
      <c r="R97" s="5"/>
      <c r="S97" s="5"/>
      <c r="T97" s="5"/>
      <c r="W97" s="3"/>
    </row>
    <row r="98" spans="1:23" s="4" customFormat="1" ht="15.75" thickBot="1" x14ac:dyDescent="0.3">
      <c r="A98" s="5"/>
      <c r="B98" s="73" t="s">
        <v>540</v>
      </c>
      <c r="C98" s="5"/>
      <c r="D98" s="5"/>
      <c r="E98" s="5"/>
      <c r="F98" s="5"/>
      <c r="G98" s="5"/>
      <c r="H98" s="5"/>
      <c r="I98" s="5"/>
      <c r="J98" s="5"/>
      <c r="K98" s="5"/>
      <c r="L98" s="5"/>
      <c r="M98" s="5"/>
      <c r="N98" s="5"/>
      <c r="O98" s="5"/>
      <c r="P98" s="5"/>
      <c r="Q98" s="5"/>
      <c r="R98" s="5"/>
      <c r="S98" s="5"/>
      <c r="T98" s="5"/>
      <c r="W98" s="3"/>
    </row>
    <row r="99" spans="1:23" s="4" customFormat="1" ht="39" thickBot="1" x14ac:dyDescent="0.25">
      <c r="A99" s="501"/>
      <c r="B99" s="502" t="s">
        <v>541</v>
      </c>
      <c r="C99" s="501"/>
      <c r="D99" s="502"/>
      <c r="E99" s="502"/>
      <c r="F99" s="502"/>
      <c r="G99" s="502"/>
      <c r="H99" s="502"/>
      <c r="I99" s="502" t="s">
        <v>542</v>
      </c>
      <c r="J99" s="502" t="s">
        <v>543</v>
      </c>
      <c r="K99" s="502"/>
      <c r="L99" s="502"/>
      <c r="M99" s="502"/>
      <c r="N99" s="503" t="s">
        <v>544</v>
      </c>
      <c r="O99" s="463" t="s">
        <v>545</v>
      </c>
      <c r="P99" s="463" t="s">
        <v>546</v>
      </c>
      <c r="Q99" s="463" t="s">
        <v>547</v>
      </c>
      <c r="R99" s="463" t="s">
        <v>548</v>
      </c>
      <c r="S99" s="463" t="s">
        <v>549</v>
      </c>
      <c r="T99" s="463" t="s">
        <v>550</v>
      </c>
      <c r="U99" s="463" t="s">
        <v>551</v>
      </c>
      <c r="V99" s="464" t="s">
        <v>552</v>
      </c>
      <c r="W99" s="3"/>
    </row>
    <row r="100" spans="1:23" s="4" customFormat="1" ht="14.25" x14ac:dyDescent="0.2">
      <c r="B100" s="379" t="s">
        <v>553</v>
      </c>
      <c r="C100" s="1012" t="s">
        <v>554</v>
      </c>
      <c r="D100" s="1013"/>
      <c r="E100" s="1013"/>
      <c r="F100" s="1013"/>
      <c r="G100" s="1013"/>
      <c r="H100" s="1014"/>
      <c r="I100" s="380">
        <v>11466</v>
      </c>
      <c r="J100" s="380">
        <v>9211</v>
      </c>
      <c r="K100" s="380">
        <v>4425</v>
      </c>
      <c r="L100" s="380">
        <v>7040</v>
      </c>
      <c r="M100" s="381">
        <v>1</v>
      </c>
      <c r="N100" s="380">
        <v>3956</v>
      </c>
      <c r="O100" s="380">
        <v>1389</v>
      </c>
      <c r="P100" s="380">
        <v>3826</v>
      </c>
      <c r="Q100" s="381">
        <v>40</v>
      </c>
      <c r="R100" s="381">
        <v>73</v>
      </c>
      <c r="S100" s="381">
        <v>23</v>
      </c>
      <c r="T100" s="381">
        <v>2.6</v>
      </c>
      <c r="U100" s="381">
        <v>1</v>
      </c>
      <c r="V100" s="382">
        <v>38</v>
      </c>
      <c r="W100" s="3"/>
    </row>
    <row r="101" spans="1:23" s="4" customFormat="1" ht="14.25" x14ac:dyDescent="0.2">
      <c r="B101" s="379" t="s">
        <v>555</v>
      </c>
      <c r="C101" s="1012" t="s">
        <v>556</v>
      </c>
      <c r="D101" s="1013"/>
      <c r="E101" s="1013"/>
      <c r="F101" s="1013"/>
      <c r="G101" s="1013"/>
      <c r="H101" s="1014"/>
      <c r="I101" s="381">
        <v>335</v>
      </c>
      <c r="J101" s="381">
        <v>317</v>
      </c>
      <c r="K101" s="381">
        <v>113</v>
      </c>
      <c r="L101" s="381">
        <v>222</v>
      </c>
      <c r="M101" s="381">
        <v>0</v>
      </c>
      <c r="N101" s="381">
        <v>30</v>
      </c>
      <c r="O101" s="381">
        <v>13</v>
      </c>
      <c r="P101" s="381">
        <v>274</v>
      </c>
      <c r="Q101" s="381">
        <v>0</v>
      </c>
      <c r="R101" s="381">
        <v>16</v>
      </c>
      <c r="S101" s="381">
        <v>10</v>
      </c>
      <c r="T101" s="381">
        <v>4.7</v>
      </c>
      <c r="U101" s="381">
        <v>3</v>
      </c>
      <c r="V101" s="382">
        <v>54</v>
      </c>
      <c r="W101" s="3"/>
    </row>
    <row r="102" spans="1:23" s="4" customFormat="1" ht="14.25" x14ac:dyDescent="0.2">
      <c r="B102" s="379" t="s">
        <v>557</v>
      </c>
      <c r="C102" s="1012" t="s">
        <v>558</v>
      </c>
      <c r="D102" s="1013"/>
      <c r="E102" s="1013"/>
      <c r="F102" s="1013"/>
      <c r="G102" s="1013"/>
      <c r="H102" s="1014"/>
      <c r="I102" s="381">
        <v>41</v>
      </c>
      <c r="J102" s="381">
        <v>30</v>
      </c>
      <c r="K102" s="381">
        <v>10</v>
      </c>
      <c r="L102" s="381">
        <v>31</v>
      </c>
      <c r="M102" s="381">
        <v>0</v>
      </c>
      <c r="N102" s="381">
        <v>17</v>
      </c>
      <c r="O102" s="381">
        <v>5</v>
      </c>
      <c r="P102" s="381">
        <v>8</v>
      </c>
      <c r="Q102" s="381">
        <v>0</v>
      </c>
      <c r="R102" s="381">
        <v>102</v>
      </c>
      <c r="S102" s="381">
        <v>56</v>
      </c>
      <c r="T102" s="381">
        <v>3</v>
      </c>
      <c r="U102" s="381">
        <v>2</v>
      </c>
      <c r="V102" s="382">
        <v>47</v>
      </c>
      <c r="W102" s="3"/>
    </row>
    <row r="103" spans="1:23" s="4" customFormat="1" ht="14.25" x14ac:dyDescent="0.2">
      <c r="B103" s="379" t="s">
        <v>559</v>
      </c>
      <c r="C103" s="1017" t="s">
        <v>560</v>
      </c>
      <c r="D103" s="1018"/>
      <c r="E103" s="1018"/>
      <c r="F103" s="1018"/>
      <c r="G103" s="1018"/>
      <c r="H103" s="1019"/>
      <c r="I103" s="380">
        <v>69986</v>
      </c>
      <c r="J103" s="380">
        <v>47295</v>
      </c>
      <c r="K103" s="380">
        <v>24206</v>
      </c>
      <c r="L103" s="380">
        <v>45774</v>
      </c>
      <c r="M103" s="381">
        <v>6</v>
      </c>
      <c r="N103" s="380">
        <v>43331</v>
      </c>
      <c r="O103" s="380">
        <v>1918</v>
      </c>
      <c r="P103" s="380">
        <v>1901</v>
      </c>
      <c r="Q103" s="381">
        <v>145</v>
      </c>
      <c r="R103" s="381">
        <v>87</v>
      </c>
      <c r="S103" s="381">
        <v>26</v>
      </c>
      <c r="T103" s="381">
        <v>2.6</v>
      </c>
      <c r="U103" s="381">
        <v>1</v>
      </c>
      <c r="V103" s="382">
        <v>44</v>
      </c>
      <c r="W103" s="3"/>
    </row>
    <row r="104" spans="1:23" s="4" customFormat="1" ht="15" x14ac:dyDescent="0.25">
      <c r="B104" s="477" t="s">
        <v>561</v>
      </c>
      <c r="C104" s="1027"/>
      <c r="D104" s="1027"/>
      <c r="E104" s="1027"/>
      <c r="F104" s="1027"/>
      <c r="G104" s="1027"/>
      <c r="H104" s="1027"/>
      <c r="I104" s="384"/>
      <c r="J104" s="386">
        <f>SUM(J100:J103)</f>
        <v>56853</v>
      </c>
      <c r="K104" s="384"/>
      <c r="L104" s="384"/>
      <c r="M104" s="383"/>
      <c r="N104" s="386">
        <f>SUM(N100:N103)</f>
        <v>47334</v>
      </c>
      <c r="O104" s="383"/>
      <c r="P104" s="383"/>
      <c r="Q104" s="383"/>
      <c r="R104" s="383"/>
      <c r="S104" s="383"/>
      <c r="T104" s="462">
        <f>AVERAGE(T100:T103)</f>
        <v>3.2250000000000001</v>
      </c>
      <c r="U104" s="383"/>
      <c r="V104" s="383"/>
      <c r="W104" s="3"/>
    </row>
    <row r="105" spans="1:23" s="4" customFormat="1" ht="26.1" customHeight="1" x14ac:dyDescent="0.2">
      <c r="B105" s="383"/>
      <c r="C105" s="1027"/>
      <c r="D105" s="1027"/>
      <c r="E105" s="1027"/>
      <c r="F105" s="1027"/>
      <c r="G105" s="1027"/>
      <c r="H105" s="1027"/>
      <c r="I105" s="384"/>
      <c r="J105" s="384"/>
      <c r="K105" s="1009" t="s">
        <v>899</v>
      </c>
      <c r="L105" s="1009"/>
      <c r="M105" s="1009"/>
      <c r="N105" s="384">
        <v>242235</v>
      </c>
      <c r="O105" s="825">
        <v>0.19539999999999999</v>
      </c>
      <c r="P105" s="1009" t="s">
        <v>961</v>
      </c>
      <c r="Q105" s="1009"/>
      <c r="R105" s="1009"/>
      <c r="S105" s="383"/>
      <c r="T105" s="383"/>
      <c r="U105" s="383"/>
      <c r="V105" s="383"/>
      <c r="W105" s="3"/>
    </row>
    <row r="106" spans="1:23" s="4" customFormat="1" ht="14.25" x14ac:dyDescent="0.2">
      <c r="B106" s="1028" t="s">
        <v>562</v>
      </c>
      <c r="C106" s="1028"/>
      <c r="D106" s="1028"/>
      <c r="E106" s="1028"/>
      <c r="F106" s="1028"/>
      <c r="G106" s="1028"/>
      <c r="H106" s="1028"/>
      <c r="I106" s="383"/>
      <c r="J106" s="383"/>
      <c r="K106" s="383"/>
      <c r="L106" s="383"/>
      <c r="M106" s="383"/>
      <c r="N106" s="383"/>
      <c r="W106" s="3"/>
    </row>
    <row r="107" spans="1:23" s="4" customFormat="1" ht="15" x14ac:dyDescent="0.25">
      <c r="B107" s="477" t="s">
        <v>563</v>
      </c>
      <c r="C107" s="383"/>
      <c r="D107" s="383"/>
      <c r="E107" s="383"/>
      <c r="F107" s="383"/>
      <c r="G107" s="383"/>
      <c r="H107" s="383"/>
      <c r="I107" s="383"/>
      <c r="J107" s="383"/>
      <c r="K107" s="383"/>
      <c r="L107" s="383"/>
      <c r="M107" s="383"/>
      <c r="N107" s="383"/>
      <c r="P107" s="949">
        <f>F170/242235</f>
        <v>0.34733626437137488</v>
      </c>
      <c r="W107" s="3"/>
    </row>
    <row r="108" spans="1:23" s="4" customFormat="1" ht="14.25" x14ac:dyDescent="0.2">
      <c r="B108" s="383"/>
      <c r="C108" s="1027"/>
      <c r="D108" s="1027"/>
      <c r="E108" s="1027"/>
      <c r="F108" s="1027"/>
      <c r="G108" s="1027"/>
      <c r="H108" s="1027"/>
      <c r="I108" s="383"/>
      <c r="J108" s="383"/>
      <c r="K108" s="383"/>
      <c r="L108" s="383"/>
      <c r="M108" s="383"/>
      <c r="N108" s="383"/>
      <c r="W108" s="3"/>
    </row>
    <row r="109" spans="1:23" s="4" customFormat="1" ht="15" x14ac:dyDescent="0.25">
      <c r="B109" s="477" t="s">
        <v>564</v>
      </c>
      <c r="C109" s="383"/>
      <c r="D109" s="383"/>
      <c r="E109" s="383"/>
      <c r="F109" s="383"/>
      <c r="G109" s="383"/>
      <c r="H109" s="383"/>
      <c r="I109" s="383"/>
      <c r="J109" s="383"/>
      <c r="K109" s="383"/>
      <c r="L109" s="383"/>
      <c r="M109" s="383"/>
      <c r="N109" s="383"/>
      <c r="W109" s="3"/>
    </row>
    <row r="110" spans="1:23" s="4" customFormat="1" ht="14.25" x14ac:dyDescent="0.2">
      <c r="B110" s="383"/>
      <c r="C110" s="1027"/>
      <c r="D110" s="1027"/>
      <c r="E110" s="1027"/>
      <c r="F110" s="1027"/>
      <c r="G110" s="1027"/>
      <c r="H110" s="1027"/>
      <c r="I110" s="383"/>
      <c r="J110" s="383"/>
      <c r="K110" s="383"/>
      <c r="L110" s="383"/>
      <c r="M110" s="383"/>
      <c r="N110" s="383"/>
      <c r="W110" s="3"/>
    </row>
    <row r="111" spans="1:23" s="4" customFormat="1" ht="14.45" customHeight="1" x14ac:dyDescent="0.2">
      <c r="B111" s="1015" t="s">
        <v>565</v>
      </c>
      <c r="C111" s="1016"/>
      <c r="D111" s="1016"/>
      <c r="E111" s="1016"/>
      <c r="F111" s="1016"/>
      <c r="G111" s="1016"/>
      <c r="H111" s="1016"/>
      <c r="I111" s="1016"/>
      <c r="J111" s="1016"/>
      <c r="K111" s="1016"/>
      <c r="L111" s="1016"/>
      <c r="M111" s="1016"/>
      <c r="N111" s="1016"/>
      <c r="W111" s="3"/>
    </row>
    <row r="112" spans="1:23" s="4" customFormat="1" ht="29.1" customHeight="1" x14ac:dyDescent="0.2">
      <c r="B112" s="1016"/>
      <c r="C112" s="1016"/>
      <c r="D112" s="1016"/>
      <c r="E112" s="1016"/>
      <c r="F112" s="1016"/>
      <c r="G112" s="1016"/>
      <c r="H112" s="1016"/>
      <c r="I112" s="1016"/>
      <c r="J112" s="1016"/>
      <c r="K112" s="1016"/>
      <c r="L112" s="1016"/>
      <c r="M112" s="1016"/>
      <c r="N112" s="1016"/>
      <c r="W112" s="3"/>
    </row>
    <row r="113" spans="2:59" s="4" customFormat="1" ht="15" x14ac:dyDescent="0.25">
      <c r="B113" s="117"/>
      <c r="W113" s="3"/>
    </row>
    <row r="114" spans="2:59" x14ac:dyDescent="0.2">
      <c r="B114" s="374"/>
      <c r="C114" s="465"/>
      <c r="D114" s="465"/>
      <c r="E114" s="465"/>
      <c r="F114" s="465"/>
      <c r="G114" s="465"/>
      <c r="H114" s="465"/>
    </row>
    <row r="115" spans="2:59" x14ac:dyDescent="0.2">
      <c r="B115" s="374" t="s">
        <v>566</v>
      </c>
    </row>
    <row r="116" spans="2:59" ht="15.75" thickBot="1" x14ac:dyDescent="0.3">
      <c r="B116" t="s">
        <v>988</v>
      </c>
      <c r="C116"/>
      <c r="D116"/>
      <c r="E116"/>
      <c r="F116"/>
    </row>
    <row r="117" spans="2:59" ht="51.75" thickBot="1" x14ac:dyDescent="0.25">
      <c r="B117" s="364" t="s">
        <v>567</v>
      </c>
      <c r="C117" s="364" t="s">
        <v>568</v>
      </c>
      <c r="D117" s="364" t="s">
        <v>569</v>
      </c>
      <c r="E117" s="365">
        <v>31.69</v>
      </c>
      <c r="F117" s="366" t="s">
        <v>570</v>
      </c>
    </row>
    <row r="118" spans="2:59" ht="15.75" thickBot="1" x14ac:dyDescent="0.3">
      <c r="B118" t="s">
        <v>534</v>
      </c>
      <c r="C118"/>
      <c r="D118"/>
      <c r="E118"/>
      <c r="F118"/>
    </row>
    <row r="119" spans="2:59" ht="39" thickBot="1" x14ac:dyDescent="0.25">
      <c r="B119" s="367" t="s">
        <v>571</v>
      </c>
      <c r="C119" s="367" t="s">
        <v>572</v>
      </c>
      <c r="D119" s="367" t="s">
        <v>573</v>
      </c>
      <c r="E119" s="368">
        <v>15.84</v>
      </c>
      <c r="F119" s="369" t="s">
        <v>574</v>
      </c>
      <c r="AF119" s="385"/>
      <c r="AG119" s="385"/>
      <c r="AH119" s="385"/>
      <c r="AI119" s="385"/>
      <c r="AJ119" s="385"/>
      <c r="AK119" s="385"/>
      <c r="AL119" s="385"/>
    </row>
    <row r="120" spans="2:59" ht="15" customHeight="1" thickBot="1" x14ac:dyDescent="0.3">
      <c r="B120" t="s">
        <v>484</v>
      </c>
      <c r="C120"/>
      <c r="D120"/>
      <c r="E120"/>
      <c r="F120"/>
      <c r="AE120" s="383"/>
      <c r="AF120" s="383"/>
      <c r="AG120" s="383"/>
      <c r="AH120" s="384"/>
      <c r="AI120" s="383"/>
      <c r="AJ120" s="383"/>
      <c r="AK120" s="383"/>
      <c r="AL120" s="383"/>
      <c r="AM120" s="383"/>
      <c r="AN120" s="383"/>
      <c r="AO120" s="383"/>
      <c r="AP120" s="383"/>
      <c r="AQ120" s="383"/>
      <c r="AR120" s="383"/>
      <c r="AS120" s="383"/>
      <c r="AT120" s="383"/>
      <c r="AU120" s="383"/>
      <c r="AV120" s="383"/>
      <c r="AW120" s="383"/>
      <c r="AX120" s="383"/>
      <c r="AY120" s="383"/>
      <c r="AZ120" s="383"/>
      <c r="BA120" s="383"/>
      <c r="BB120" s="383"/>
      <c r="BC120" s="384"/>
      <c r="BD120" s="384"/>
      <c r="BE120" s="384"/>
      <c r="BF120" s="383"/>
      <c r="BG120" s="383"/>
    </row>
    <row r="121" spans="2:59" ht="39" thickBot="1" x14ac:dyDescent="0.25">
      <c r="B121" s="364" t="s">
        <v>567</v>
      </c>
      <c r="C121" s="364" t="s">
        <v>575</v>
      </c>
      <c r="D121" s="364" t="s">
        <v>569</v>
      </c>
      <c r="E121" s="365">
        <v>21.13</v>
      </c>
      <c r="F121" s="366" t="s">
        <v>574</v>
      </c>
      <c r="AE121" s="383"/>
      <c r="AF121" s="383"/>
      <c r="AG121" s="383"/>
      <c r="AH121" s="383"/>
      <c r="AI121" s="383"/>
      <c r="AJ121" s="383"/>
      <c r="AK121" s="383"/>
      <c r="AL121" s="383"/>
      <c r="AM121" s="383"/>
      <c r="AN121" s="383"/>
      <c r="AO121" s="383"/>
      <c r="AP121" s="383"/>
      <c r="AQ121" s="383"/>
      <c r="AR121" s="383"/>
      <c r="AS121" s="383"/>
      <c r="AT121" s="383"/>
      <c r="AU121" s="383"/>
      <c r="AV121" s="383"/>
      <c r="AW121" s="383"/>
      <c r="AX121" s="383"/>
      <c r="AY121" s="383"/>
      <c r="AZ121" s="383"/>
      <c r="BA121" s="383"/>
      <c r="BB121" s="383"/>
      <c r="BC121" s="383"/>
      <c r="BD121" s="383"/>
      <c r="BE121" s="383"/>
      <c r="BF121" s="383"/>
      <c r="BG121" s="383"/>
    </row>
    <row r="122" spans="2:59" ht="14.45" customHeight="1" x14ac:dyDescent="0.25">
      <c r="B122" t="s">
        <v>576</v>
      </c>
      <c r="C122"/>
      <c r="D122"/>
      <c r="E122"/>
      <c r="F122"/>
      <c r="AE122" s="383"/>
      <c r="AF122" s="383"/>
      <c r="AG122" s="383"/>
      <c r="AH122" s="383"/>
      <c r="AI122" s="383"/>
      <c r="AJ122" s="383"/>
      <c r="AK122" s="383"/>
      <c r="AL122" s="383"/>
      <c r="AM122" s="383"/>
      <c r="AN122" s="383"/>
      <c r="AO122" s="383"/>
      <c r="AP122" s="383"/>
      <c r="AQ122" s="383"/>
      <c r="AR122" s="383"/>
      <c r="AS122" s="383"/>
      <c r="AT122" s="383"/>
      <c r="AU122" s="383"/>
      <c r="AV122" s="383"/>
      <c r="AW122" s="383"/>
      <c r="AX122" s="383"/>
      <c r="AY122" s="383"/>
      <c r="AZ122" s="383"/>
      <c r="BA122" s="383"/>
      <c r="BB122" s="383"/>
      <c r="BC122" s="383"/>
      <c r="BD122" s="383"/>
      <c r="BE122" s="383"/>
      <c r="BF122" s="383"/>
      <c r="BG122" s="383"/>
    </row>
    <row r="123" spans="2:59" ht="15" customHeight="1" x14ac:dyDescent="0.25">
      <c r="B123" s="1010" t="s">
        <v>490</v>
      </c>
      <c r="C123" s="1011"/>
      <c r="D123" s="1011"/>
      <c r="E123" s="1011"/>
      <c r="F123"/>
      <c r="AE123" s="383"/>
      <c r="AF123" s="384"/>
      <c r="AG123" s="384"/>
      <c r="AH123" s="384"/>
      <c r="AI123" s="383"/>
      <c r="AJ123" s="383"/>
      <c r="AK123" s="383"/>
      <c r="AL123" s="383"/>
      <c r="AM123" s="383"/>
      <c r="AN123" s="384"/>
      <c r="AO123" s="384"/>
      <c r="AP123" s="384"/>
      <c r="AQ123" s="384"/>
      <c r="AR123" s="384"/>
      <c r="AS123" s="384"/>
      <c r="AT123" s="384"/>
      <c r="AU123" s="384"/>
      <c r="AV123" s="384"/>
      <c r="AW123" s="384"/>
      <c r="AX123" s="384"/>
      <c r="AY123" s="384"/>
      <c r="AZ123" s="384"/>
      <c r="BA123" s="384"/>
      <c r="BB123" s="384"/>
      <c r="BC123" s="384"/>
      <c r="BD123" s="384"/>
      <c r="BE123" s="384"/>
      <c r="BF123" s="383"/>
      <c r="BG123" s="383"/>
    </row>
    <row r="124" spans="2:59" ht="15" customHeight="1" thickBot="1" x14ac:dyDescent="0.3">
      <c r="B124" t="s">
        <v>577</v>
      </c>
      <c r="C124"/>
      <c r="D124"/>
      <c r="E124"/>
      <c r="F124"/>
      <c r="AE124" s="383"/>
      <c r="AF124" s="383"/>
      <c r="AG124" s="383"/>
      <c r="AH124" s="383"/>
      <c r="AI124" s="383"/>
      <c r="AJ124" s="383"/>
      <c r="AK124" s="383"/>
      <c r="AL124" s="383"/>
      <c r="AM124" s="383"/>
      <c r="AN124" s="383"/>
      <c r="AO124" s="383"/>
      <c r="AP124" s="383"/>
      <c r="AQ124" s="383"/>
      <c r="AR124" s="383"/>
      <c r="AS124" s="383"/>
      <c r="AT124" s="383"/>
      <c r="AU124" s="383"/>
      <c r="AV124" s="383"/>
      <c r="AW124" s="383"/>
      <c r="AX124" s="383"/>
      <c r="AY124" s="383"/>
      <c r="AZ124" s="383"/>
      <c r="BA124" s="383"/>
      <c r="BB124" s="383"/>
      <c r="BC124" s="383"/>
      <c r="BD124" s="384"/>
      <c r="BE124" s="383"/>
      <c r="BF124" s="383"/>
      <c r="BG124" s="383"/>
    </row>
    <row r="125" spans="2:59" ht="66.599999999999994" customHeight="1" thickBot="1" x14ac:dyDescent="0.25">
      <c r="B125" s="364" t="s">
        <v>567</v>
      </c>
      <c r="C125" s="364" t="s">
        <v>578</v>
      </c>
      <c r="D125" s="364" t="s">
        <v>569</v>
      </c>
      <c r="E125" s="364" t="s">
        <v>579</v>
      </c>
      <c r="F125" s="366" t="s">
        <v>574</v>
      </c>
      <c r="AE125" s="383"/>
      <c r="AF125" s="383"/>
      <c r="AG125" s="383"/>
      <c r="AH125" s="383"/>
      <c r="AI125" s="383"/>
      <c r="AJ125" s="383"/>
      <c r="AK125" s="383"/>
      <c r="AL125" s="383"/>
      <c r="AM125" s="383"/>
      <c r="AN125" s="383"/>
      <c r="AO125" s="383"/>
      <c r="AP125" s="383"/>
      <c r="AQ125" s="383"/>
      <c r="AR125" s="383"/>
      <c r="AS125" s="383"/>
      <c r="AT125" s="383"/>
      <c r="AU125" s="383"/>
      <c r="AV125" s="384"/>
      <c r="AW125" s="384"/>
      <c r="AX125" s="384"/>
      <c r="AY125" s="384"/>
      <c r="AZ125" s="384"/>
      <c r="BA125" s="384"/>
      <c r="BB125" s="383"/>
      <c r="BC125" s="384"/>
      <c r="BD125" s="384"/>
      <c r="BE125" s="384"/>
      <c r="BF125" s="383"/>
      <c r="BG125" s="383"/>
    </row>
    <row r="126" spans="2:59" ht="13.35" customHeight="1" x14ac:dyDescent="0.2">
      <c r="B126" s="373"/>
      <c r="C126" s="373"/>
      <c r="D126" s="373"/>
      <c r="E126" s="373"/>
      <c r="F126" s="373"/>
      <c r="W126" s="383"/>
      <c r="X126" s="383"/>
      <c r="Y126" s="383"/>
      <c r="Z126" s="383"/>
      <c r="AA126" s="383"/>
      <c r="AB126" s="383"/>
      <c r="AC126" s="383"/>
      <c r="AD126" s="383"/>
      <c r="AE126" s="383"/>
      <c r="AF126" s="383"/>
      <c r="AG126" s="383"/>
      <c r="AH126" s="383"/>
      <c r="AI126" s="383"/>
      <c r="AJ126" s="383"/>
      <c r="AK126" s="383"/>
      <c r="AL126" s="383"/>
      <c r="AM126" s="383"/>
      <c r="AN126" s="383"/>
      <c r="AO126" s="383"/>
      <c r="AP126" s="383"/>
      <c r="AQ126" s="383"/>
      <c r="AR126" s="383"/>
      <c r="AS126" s="383"/>
      <c r="AT126" s="383"/>
      <c r="AU126" s="383"/>
      <c r="AV126" s="383"/>
      <c r="AW126" s="383"/>
      <c r="AX126" s="383"/>
      <c r="AY126" s="383"/>
      <c r="AZ126" s="383"/>
      <c r="BA126" s="383"/>
      <c r="BB126" s="383"/>
      <c r="BC126" s="383"/>
      <c r="BD126" s="383"/>
      <c r="BE126" s="383"/>
      <c r="BF126" s="383"/>
      <c r="BG126" s="383"/>
    </row>
    <row r="127" spans="2:59" ht="13.35" customHeight="1" x14ac:dyDescent="0.2">
      <c r="B127" s="373"/>
      <c r="C127" s="373"/>
      <c r="D127" s="373"/>
      <c r="E127" s="373"/>
      <c r="F127" s="373"/>
      <c r="W127" s="383"/>
      <c r="X127" s="383"/>
      <c r="Y127" s="383"/>
      <c r="Z127" s="383"/>
      <c r="AA127" s="383"/>
      <c r="AB127" s="383"/>
      <c r="AC127" s="383"/>
      <c r="AD127" s="383"/>
      <c r="AE127" s="383"/>
      <c r="AF127" s="383"/>
      <c r="AG127" s="383"/>
      <c r="AH127" s="383"/>
      <c r="AI127" s="383"/>
      <c r="AJ127" s="383"/>
      <c r="AK127" s="383"/>
      <c r="AL127" s="383"/>
      <c r="AM127" s="383"/>
      <c r="AN127" s="383"/>
      <c r="AO127" s="383"/>
      <c r="AP127" s="383"/>
      <c r="AQ127" s="383"/>
      <c r="AR127" s="383"/>
      <c r="AS127" s="383"/>
      <c r="AT127" s="383"/>
      <c r="AU127" s="383"/>
      <c r="AV127" s="383"/>
      <c r="AW127" s="383"/>
      <c r="AX127" s="383"/>
      <c r="AY127" s="383"/>
      <c r="AZ127" s="383"/>
      <c r="BA127" s="383"/>
      <c r="BB127" s="383"/>
      <c r="BC127" s="383"/>
      <c r="BD127" s="383"/>
      <c r="BE127" s="383"/>
      <c r="BF127" s="383"/>
      <c r="BG127" s="383"/>
    </row>
    <row r="128" spans="2:59" ht="13.35" customHeight="1" x14ac:dyDescent="0.2">
      <c r="B128" s="373"/>
      <c r="C128" s="373"/>
      <c r="D128" s="373"/>
      <c r="E128" s="373"/>
      <c r="F128" s="373"/>
      <c r="W128" s="383"/>
      <c r="X128" s="383"/>
      <c r="Y128" s="383"/>
      <c r="Z128" s="383"/>
      <c r="AA128" s="383"/>
      <c r="AB128" s="383"/>
      <c r="AC128" s="383"/>
      <c r="AD128" s="383"/>
      <c r="AE128" s="383"/>
      <c r="AF128" s="383"/>
      <c r="AG128" s="383"/>
      <c r="AH128" s="383"/>
      <c r="AI128" s="383"/>
      <c r="AJ128" s="383"/>
      <c r="AK128" s="383"/>
      <c r="AL128" s="383"/>
      <c r="AM128" s="383"/>
      <c r="AN128" s="383"/>
      <c r="AO128" s="383"/>
      <c r="AP128" s="383"/>
      <c r="AQ128" s="383"/>
      <c r="AR128" s="383"/>
      <c r="AS128" s="383"/>
      <c r="AT128" s="383"/>
      <c r="AU128" s="383"/>
      <c r="AV128" s="383"/>
      <c r="AW128" s="383"/>
      <c r="AX128" s="383"/>
      <c r="AY128" s="383"/>
      <c r="AZ128" s="383"/>
      <c r="BA128" s="383"/>
      <c r="BB128" s="383"/>
      <c r="BC128" s="383"/>
      <c r="BD128" s="383"/>
      <c r="BE128" s="383"/>
      <c r="BF128" s="383"/>
      <c r="BG128" s="383"/>
    </row>
    <row r="129" spans="2:59" ht="13.35" customHeight="1" x14ac:dyDescent="0.2">
      <c r="B129" s="373"/>
      <c r="C129" s="373"/>
      <c r="D129" s="373"/>
      <c r="E129" s="373"/>
      <c r="F129" s="373"/>
      <c r="W129" s="383"/>
      <c r="X129" s="383"/>
      <c r="Y129" s="383"/>
      <c r="Z129" s="383"/>
      <c r="AA129" s="383"/>
      <c r="AB129" s="383"/>
      <c r="AC129" s="383"/>
      <c r="AD129" s="383"/>
      <c r="AE129" s="383"/>
      <c r="AF129" s="383"/>
      <c r="AG129" s="383"/>
      <c r="AH129" s="383"/>
      <c r="AI129" s="383"/>
      <c r="AJ129" s="383"/>
      <c r="AK129" s="383"/>
      <c r="AL129" s="383"/>
      <c r="AM129" s="383"/>
      <c r="AN129" s="383"/>
      <c r="AO129" s="383"/>
      <c r="AP129" s="383"/>
      <c r="AQ129" s="383"/>
      <c r="AR129" s="383"/>
      <c r="AS129" s="383"/>
      <c r="AT129" s="383"/>
      <c r="AU129" s="383"/>
      <c r="AV129" s="383"/>
      <c r="AW129" s="383"/>
      <c r="AX129" s="383"/>
      <c r="AY129" s="383"/>
      <c r="AZ129" s="383"/>
      <c r="BA129" s="383"/>
      <c r="BB129" s="383"/>
      <c r="BC129" s="383"/>
      <c r="BD129" s="383"/>
      <c r="BE129" s="383"/>
      <c r="BF129" s="383"/>
      <c r="BG129" s="383"/>
    </row>
    <row r="130" spans="2:59" ht="15.75" thickBot="1" x14ac:dyDescent="0.3">
      <c r="B130" t="s">
        <v>500</v>
      </c>
      <c r="C130"/>
      <c r="D130"/>
      <c r="E130"/>
      <c r="F130"/>
      <c r="W130" s="383"/>
      <c r="X130" s="383"/>
      <c r="Y130" s="383"/>
      <c r="Z130" s="383"/>
      <c r="AA130" s="383"/>
      <c r="AB130" s="383"/>
      <c r="AC130" s="383"/>
      <c r="AD130" s="383"/>
      <c r="AE130" s="383"/>
      <c r="AF130" s="383"/>
      <c r="AG130" s="383"/>
      <c r="AH130" s="383"/>
      <c r="AI130" s="383"/>
      <c r="AJ130" s="383"/>
      <c r="AK130" s="383"/>
      <c r="AL130" s="383"/>
      <c r="AM130" s="383"/>
      <c r="AN130" s="383"/>
      <c r="AO130" s="383"/>
      <c r="AP130" s="383"/>
      <c r="AQ130" s="383"/>
      <c r="AR130" s="383"/>
      <c r="AS130" s="383"/>
      <c r="AT130" s="383"/>
      <c r="AU130" s="383"/>
      <c r="AV130" s="383"/>
      <c r="AW130" s="383"/>
      <c r="AX130" s="383"/>
      <c r="AY130" s="383"/>
      <c r="AZ130" s="383"/>
      <c r="BA130" s="383"/>
      <c r="BB130" s="383"/>
      <c r="BC130" s="383"/>
      <c r="BD130" s="383"/>
      <c r="BE130" s="383"/>
      <c r="BF130" s="383"/>
      <c r="BG130" s="383"/>
    </row>
    <row r="131" spans="2:59" ht="112.5" customHeight="1" thickBot="1" x14ac:dyDescent="0.3">
      <c r="B131" s="364" t="s">
        <v>580</v>
      </c>
      <c r="C131" s="364" t="s">
        <v>581</v>
      </c>
      <c r="D131" s="366" t="s">
        <v>582</v>
      </c>
      <c r="E131"/>
      <c r="F131"/>
      <c r="W131" s="383"/>
      <c r="X131" s="383"/>
      <c r="Y131" s="383"/>
      <c r="Z131" s="383"/>
      <c r="AA131" s="383"/>
      <c r="AB131" s="383"/>
      <c r="AC131" s="383"/>
      <c r="AD131" s="383"/>
      <c r="AE131" s="383"/>
      <c r="AF131" s="383"/>
      <c r="AG131" s="383"/>
      <c r="AH131" s="383"/>
      <c r="AI131" s="383"/>
      <c r="AJ131" s="383"/>
      <c r="AK131" s="383"/>
      <c r="AL131" s="383"/>
      <c r="AM131" s="383"/>
      <c r="AN131" s="383"/>
      <c r="AO131" s="383"/>
      <c r="AP131" s="383"/>
      <c r="AQ131" s="383"/>
      <c r="AR131" s="383"/>
      <c r="AS131" s="383"/>
      <c r="AT131" s="383"/>
      <c r="AU131" s="383"/>
      <c r="AV131" s="383"/>
      <c r="AW131" s="383"/>
      <c r="AX131" s="383"/>
      <c r="AY131" s="383"/>
      <c r="AZ131" s="383"/>
      <c r="BA131" s="383"/>
      <c r="BB131" s="383"/>
      <c r="BC131" s="383"/>
      <c r="BD131" s="383"/>
      <c r="BE131" s="383"/>
      <c r="BF131" s="383"/>
      <c r="BG131" s="383"/>
    </row>
    <row r="132" spans="2:59" ht="40.35" customHeight="1" thickBot="1" x14ac:dyDescent="0.3">
      <c r="B132" s="370" t="s">
        <v>583</v>
      </c>
      <c r="C132" s="371">
        <v>63.38</v>
      </c>
      <c r="D132" s="372" t="s">
        <v>574</v>
      </c>
      <c r="E132"/>
      <c r="F132"/>
      <c r="J132" s="383"/>
      <c r="K132" s="1027"/>
      <c r="L132" s="1027"/>
      <c r="M132" s="1027"/>
      <c r="N132" s="1027"/>
      <c r="O132" s="1027"/>
      <c r="P132" s="1027"/>
      <c r="Q132" s="383"/>
      <c r="R132" s="383"/>
      <c r="S132" s="383"/>
      <c r="T132" s="383"/>
      <c r="U132" s="383"/>
      <c r="V132" s="383"/>
      <c r="W132" s="383"/>
      <c r="X132" s="383"/>
      <c r="Y132" s="383"/>
      <c r="Z132" s="383"/>
      <c r="AA132" s="383"/>
      <c r="AB132" s="383"/>
      <c r="AC132" s="383"/>
      <c r="AD132" s="383"/>
      <c r="AE132" s="383"/>
      <c r="AF132" s="383"/>
      <c r="AG132" s="383"/>
      <c r="AH132" s="383"/>
      <c r="AI132" s="383"/>
      <c r="AJ132" s="383"/>
      <c r="AK132" s="383"/>
      <c r="AL132" s="383"/>
      <c r="AM132" s="383"/>
      <c r="AN132" s="383"/>
      <c r="AO132" s="383"/>
      <c r="AP132" s="383"/>
      <c r="AQ132" s="383"/>
      <c r="AR132" s="383"/>
      <c r="AS132" s="383"/>
      <c r="AT132" s="383"/>
      <c r="AU132" s="383"/>
      <c r="AV132" s="383"/>
      <c r="AW132" s="383"/>
      <c r="AX132" s="383"/>
      <c r="AY132" s="383"/>
      <c r="AZ132" s="383"/>
      <c r="BA132" s="383"/>
      <c r="BB132" s="383"/>
      <c r="BC132" s="383"/>
      <c r="BD132" s="383"/>
      <c r="BE132" s="383"/>
      <c r="BF132" s="383"/>
      <c r="BG132" s="383"/>
    </row>
    <row r="133" spans="2:59" ht="14.45" customHeight="1" x14ac:dyDescent="0.25">
      <c r="B133" s="373" t="s">
        <v>584</v>
      </c>
      <c r="C133"/>
      <c r="D133"/>
      <c r="E133"/>
      <c r="F133"/>
      <c r="J133" s="383"/>
      <c r="K133" s="1027"/>
      <c r="L133" s="1027"/>
      <c r="M133" s="1027"/>
      <c r="N133" s="1027"/>
      <c r="O133" s="1027"/>
      <c r="P133" s="1027"/>
      <c r="Q133" s="383"/>
      <c r="R133" s="383"/>
      <c r="S133" s="383"/>
      <c r="T133" s="383"/>
      <c r="U133" s="383"/>
      <c r="V133" s="383"/>
      <c r="W133" s="383"/>
      <c r="X133" s="383"/>
      <c r="Y133" s="383"/>
      <c r="Z133" s="383"/>
      <c r="AA133" s="383"/>
      <c r="AB133" s="383"/>
      <c r="AC133" s="383"/>
      <c r="AD133" s="383"/>
      <c r="AE133" s="383"/>
      <c r="AF133" s="383"/>
      <c r="AG133" s="383"/>
      <c r="AH133" s="383"/>
      <c r="AI133" s="383"/>
      <c r="AJ133" s="383"/>
      <c r="AK133" s="383"/>
      <c r="AL133" s="383"/>
      <c r="AM133" s="383"/>
      <c r="AN133" s="383"/>
      <c r="AO133" s="383"/>
      <c r="AP133" s="383"/>
      <c r="AQ133" s="383"/>
      <c r="AR133" s="383"/>
      <c r="AS133" s="383"/>
      <c r="AT133" s="383"/>
      <c r="AU133" s="383"/>
      <c r="AV133" s="383"/>
      <c r="AW133" s="383"/>
      <c r="AX133" s="383"/>
      <c r="AY133" s="383"/>
      <c r="AZ133" s="383"/>
      <c r="BA133" s="383"/>
      <c r="BB133" s="383"/>
      <c r="BC133" s="383"/>
      <c r="BD133" s="383"/>
      <c r="BE133" s="383"/>
      <c r="BF133" s="383"/>
      <c r="BG133" s="383"/>
    </row>
    <row r="134" spans="2:59" ht="14.45" customHeight="1" x14ac:dyDescent="0.25">
      <c r="B134" s="373"/>
      <c r="C134"/>
      <c r="D134"/>
      <c r="E134"/>
      <c r="F134"/>
      <c r="J134" s="383"/>
      <c r="K134" s="383"/>
      <c r="L134" s="383"/>
      <c r="M134" s="383"/>
      <c r="N134" s="383"/>
      <c r="O134" s="383"/>
      <c r="P134" s="383"/>
      <c r="Q134" s="383"/>
      <c r="R134" s="383"/>
      <c r="S134" s="383"/>
      <c r="T134" s="383"/>
      <c r="U134" s="383"/>
      <c r="V134" s="383"/>
      <c r="W134" s="383"/>
      <c r="X134" s="383"/>
      <c r="Y134" s="383"/>
      <c r="Z134" s="383"/>
      <c r="AA134" s="383"/>
      <c r="AB134" s="383"/>
      <c r="AC134" s="383"/>
      <c r="AD134" s="383"/>
      <c r="AE134" s="383"/>
      <c r="AF134" s="383"/>
      <c r="AG134" s="383"/>
      <c r="AH134" s="383"/>
      <c r="AI134" s="383"/>
      <c r="AJ134" s="383"/>
      <c r="AK134" s="383"/>
      <c r="AL134" s="383"/>
      <c r="AM134" s="383"/>
      <c r="AN134" s="383"/>
      <c r="AO134" s="383"/>
      <c r="AP134" s="383"/>
      <c r="AQ134" s="383"/>
      <c r="AR134" s="383"/>
      <c r="AS134" s="383"/>
      <c r="AT134" s="383"/>
      <c r="AU134" s="383"/>
      <c r="AV134" s="383"/>
      <c r="AW134" s="383"/>
      <c r="AX134" s="383"/>
      <c r="AY134" s="383"/>
      <c r="AZ134" s="383"/>
      <c r="BA134" s="383"/>
      <c r="BB134" s="383"/>
      <c r="BC134" s="383"/>
      <c r="BD134" s="383"/>
      <c r="BE134" s="383"/>
      <c r="BF134" s="383"/>
      <c r="BG134" s="383"/>
    </row>
    <row r="135" spans="2:59" ht="13.35" hidden="1" customHeight="1" thickBot="1" x14ac:dyDescent="0.3">
      <c r="B135" s="404" t="s">
        <v>585</v>
      </c>
      <c r="J135" s="383"/>
      <c r="K135" s="1027"/>
      <c r="L135" s="1027"/>
      <c r="M135" s="1027"/>
      <c r="N135" s="1027"/>
      <c r="O135" s="1027"/>
      <c r="P135" s="1027"/>
      <c r="Q135" s="383"/>
      <c r="R135" s="383"/>
      <c r="S135" s="383"/>
      <c r="T135" s="383"/>
      <c r="U135" s="383"/>
      <c r="V135" s="383"/>
      <c r="W135" s="383"/>
      <c r="X135" s="383"/>
      <c r="Y135" s="383"/>
      <c r="Z135" s="383"/>
      <c r="AA135" s="383"/>
      <c r="AB135" s="383"/>
      <c r="AC135" s="383"/>
      <c r="AD135" s="383"/>
      <c r="AE135" s="383"/>
      <c r="AF135" s="383"/>
      <c r="AG135" s="383"/>
      <c r="AH135" s="383"/>
      <c r="AI135" s="383"/>
      <c r="AJ135" s="383"/>
      <c r="AK135" s="383"/>
      <c r="AL135" s="383"/>
      <c r="AM135" s="383"/>
      <c r="AN135" s="383"/>
      <c r="AO135" s="383"/>
      <c r="AP135" s="383"/>
      <c r="AQ135" s="383"/>
      <c r="AR135" s="383"/>
      <c r="AS135" s="383"/>
      <c r="AT135" s="383"/>
      <c r="AU135" s="383"/>
      <c r="AV135" s="383"/>
      <c r="AW135" s="383"/>
      <c r="AX135" s="383"/>
      <c r="AY135" s="383"/>
      <c r="AZ135" s="383"/>
      <c r="BA135" s="383"/>
      <c r="BB135" s="383"/>
      <c r="BC135" s="383"/>
      <c r="BD135" s="383"/>
      <c r="BE135" s="383"/>
      <c r="BF135" s="383"/>
      <c r="BG135" s="383"/>
    </row>
    <row r="136" spans="2:59" ht="106.35" hidden="1" customHeight="1" thickBot="1" x14ac:dyDescent="0.25">
      <c r="B136" s="392" t="s">
        <v>506</v>
      </c>
      <c r="C136" s="392" t="s">
        <v>586</v>
      </c>
      <c r="D136" s="392" t="s">
        <v>587</v>
      </c>
      <c r="E136" s="392" t="s">
        <v>588</v>
      </c>
      <c r="F136" s="392" t="s">
        <v>589</v>
      </c>
      <c r="G136" s="392" t="s">
        <v>590</v>
      </c>
      <c r="H136" s="392" t="s">
        <v>591</v>
      </c>
      <c r="I136" s="392" t="s">
        <v>592</v>
      </c>
      <c r="J136" s="393" t="s">
        <v>593</v>
      </c>
      <c r="K136" s="1027"/>
      <c r="L136" s="1027"/>
      <c r="M136" s="1027"/>
      <c r="N136" s="1027"/>
      <c r="O136" s="1027"/>
      <c r="P136" s="1027"/>
      <c r="Q136" s="383"/>
      <c r="R136" s="383"/>
      <c r="S136" s="383"/>
      <c r="T136" s="383"/>
      <c r="U136" s="383"/>
      <c r="V136" s="383"/>
      <c r="W136" s="383"/>
      <c r="X136" s="383"/>
      <c r="Y136" s="383"/>
      <c r="Z136" s="383"/>
      <c r="AA136" s="383"/>
      <c r="AB136" s="383"/>
      <c r="AC136" s="383"/>
      <c r="AD136" s="383"/>
      <c r="AE136" s="383"/>
      <c r="AF136" s="383"/>
      <c r="AG136" s="383"/>
      <c r="AH136" s="383"/>
      <c r="AI136" s="383"/>
      <c r="AJ136" s="383"/>
      <c r="AK136" s="383"/>
      <c r="AL136" s="383"/>
      <c r="AM136" s="383"/>
      <c r="AN136" s="383"/>
      <c r="AO136" s="383"/>
      <c r="AP136" s="383"/>
      <c r="AQ136" s="383"/>
      <c r="AR136" s="383"/>
      <c r="AS136" s="383"/>
      <c r="AT136" s="383"/>
      <c r="AU136" s="383"/>
      <c r="AV136" s="383"/>
      <c r="AW136" s="383"/>
      <c r="AX136" s="383"/>
      <c r="AY136" s="383"/>
      <c r="AZ136" s="383"/>
      <c r="BA136" s="383"/>
      <c r="BB136" s="383"/>
      <c r="BC136" s="383"/>
      <c r="BD136" s="383"/>
      <c r="BE136" s="383"/>
      <c r="BF136" s="383"/>
      <c r="BG136" s="383"/>
    </row>
    <row r="137" spans="2:59" ht="13.35" hidden="1" customHeight="1" x14ac:dyDescent="0.2">
      <c r="B137" s="394" t="s">
        <v>594</v>
      </c>
      <c r="C137" s="395" t="s">
        <v>595</v>
      </c>
      <c r="D137" s="423">
        <v>4408</v>
      </c>
      <c r="E137" s="396">
        <v>882</v>
      </c>
      <c r="F137" s="396">
        <v>3988</v>
      </c>
      <c r="G137" s="396">
        <v>798</v>
      </c>
      <c r="H137" s="395" t="s">
        <v>596</v>
      </c>
      <c r="I137" s="395" t="s">
        <v>502</v>
      </c>
      <c r="J137" s="397">
        <v>0.2</v>
      </c>
      <c r="K137" s="1027"/>
      <c r="L137" s="1027"/>
      <c r="M137" s="1027"/>
      <c r="N137" s="1027"/>
      <c r="O137" s="1027"/>
      <c r="P137" s="1027"/>
      <c r="Q137" s="383"/>
      <c r="R137" s="383"/>
      <c r="S137" s="383"/>
      <c r="T137" s="383"/>
      <c r="U137" s="383"/>
      <c r="V137" s="383"/>
      <c r="W137" s="383"/>
      <c r="X137" s="383"/>
      <c r="Y137" s="383"/>
      <c r="Z137" s="383"/>
      <c r="AA137" s="383"/>
      <c r="AB137" s="383"/>
      <c r="AC137" s="383"/>
      <c r="AD137" s="383"/>
      <c r="AE137" s="383"/>
      <c r="AF137" s="383"/>
      <c r="AG137" s="383"/>
      <c r="AH137" s="383"/>
      <c r="AI137" s="383"/>
      <c r="AJ137" s="383"/>
      <c r="AK137" s="383"/>
      <c r="AL137" s="383"/>
      <c r="AM137" s="383"/>
      <c r="AN137" s="383"/>
      <c r="AO137" s="383"/>
      <c r="AP137" s="383"/>
      <c r="AQ137" s="383"/>
      <c r="AR137" s="383"/>
      <c r="AS137" s="383"/>
      <c r="AT137" s="383"/>
      <c r="AU137" s="383"/>
      <c r="AV137" s="383"/>
      <c r="AW137" s="383"/>
      <c r="AX137" s="383"/>
      <c r="AY137" s="383"/>
      <c r="AZ137" s="383"/>
      <c r="BA137" s="383"/>
      <c r="BB137" s="383"/>
      <c r="BC137" s="383"/>
      <c r="BD137" s="383"/>
      <c r="BE137" s="383"/>
      <c r="BF137" s="383"/>
      <c r="BG137" s="383"/>
    </row>
    <row r="138" spans="2:59" ht="26.45" hidden="1" customHeight="1" x14ac:dyDescent="0.2">
      <c r="B138" s="394" t="s">
        <v>597</v>
      </c>
      <c r="C138" s="395" t="s">
        <v>598</v>
      </c>
      <c r="D138" s="396">
        <v>3624</v>
      </c>
      <c r="E138" s="396">
        <v>725</v>
      </c>
      <c r="F138" s="396">
        <v>3279</v>
      </c>
      <c r="G138" s="396">
        <v>656</v>
      </c>
      <c r="H138" s="395" t="s">
        <v>596</v>
      </c>
      <c r="I138" s="395" t="s">
        <v>502</v>
      </c>
      <c r="J138" s="397">
        <v>0.2</v>
      </c>
    </row>
    <row r="139" spans="2:59" ht="26.45" hidden="1" customHeight="1" x14ac:dyDescent="0.2">
      <c r="B139" s="394" t="s">
        <v>599</v>
      </c>
      <c r="C139" s="395" t="s">
        <v>600</v>
      </c>
      <c r="D139" s="396">
        <v>2599</v>
      </c>
      <c r="E139" s="396">
        <v>1170</v>
      </c>
      <c r="F139" s="396">
        <v>2351</v>
      </c>
      <c r="G139" s="396">
        <v>1058</v>
      </c>
      <c r="H139" s="395" t="s">
        <v>596</v>
      </c>
      <c r="I139" s="395" t="s">
        <v>502</v>
      </c>
      <c r="J139" s="397">
        <v>0.45</v>
      </c>
    </row>
    <row r="140" spans="2:59" ht="26.45" hidden="1" customHeight="1" x14ac:dyDescent="0.2">
      <c r="B140" s="394" t="s">
        <v>601</v>
      </c>
      <c r="C140" s="395" t="s">
        <v>602</v>
      </c>
      <c r="D140" s="396">
        <v>2067</v>
      </c>
      <c r="E140" s="396">
        <v>930</v>
      </c>
      <c r="F140" s="396">
        <v>1870</v>
      </c>
      <c r="G140" s="396">
        <v>842</v>
      </c>
      <c r="H140" s="395" t="s">
        <v>596</v>
      </c>
      <c r="I140" s="395" t="s">
        <v>502</v>
      </c>
      <c r="J140" s="397">
        <v>0.45</v>
      </c>
    </row>
    <row r="141" spans="2:59" ht="27" hidden="1" customHeight="1" thickBot="1" x14ac:dyDescent="0.25">
      <c r="B141" s="398" t="s">
        <v>603</v>
      </c>
      <c r="C141" s="399" t="s">
        <v>604</v>
      </c>
      <c r="D141" s="400">
        <v>1357</v>
      </c>
      <c r="E141" s="400">
        <v>882</v>
      </c>
      <c r="F141" s="400">
        <v>1228</v>
      </c>
      <c r="G141" s="400">
        <v>798</v>
      </c>
      <c r="H141" s="399" t="s">
        <v>596</v>
      </c>
      <c r="I141" s="399" t="s">
        <v>502</v>
      </c>
      <c r="J141" s="401">
        <v>0.65</v>
      </c>
    </row>
    <row r="142" spans="2:59" ht="13.15" hidden="1" customHeight="1" x14ac:dyDescent="0.2"/>
    <row r="143" spans="2:59" ht="13.15" hidden="1" customHeight="1" x14ac:dyDescent="0.2">
      <c r="B143" s="374" t="s">
        <v>605</v>
      </c>
      <c r="D143" s="374" t="s">
        <v>606</v>
      </c>
    </row>
    <row r="144" spans="2:59" ht="13.15" hidden="1" customHeight="1" x14ac:dyDescent="0.2">
      <c r="B144" s="391" t="s">
        <v>594</v>
      </c>
      <c r="C144" s="402" t="s">
        <v>595</v>
      </c>
      <c r="D144" s="422">
        <v>3988</v>
      </c>
      <c r="E144" s="403"/>
      <c r="F144" s="403"/>
    </row>
    <row r="145" spans="2:6" ht="26.45" hidden="1" customHeight="1" x14ac:dyDescent="0.2">
      <c r="B145" s="391" t="s">
        <v>597</v>
      </c>
      <c r="C145" s="402" t="s">
        <v>598</v>
      </c>
      <c r="D145" s="403">
        <v>3279</v>
      </c>
      <c r="E145" s="403"/>
      <c r="F145" s="403"/>
    </row>
    <row r="146" spans="2:6" ht="26.45" hidden="1" customHeight="1" x14ac:dyDescent="0.2">
      <c r="B146" s="391" t="s">
        <v>599</v>
      </c>
      <c r="C146" s="402" t="s">
        <v>600</v>
      </c>
      <c r="D146" s="403">
        <v>2351</v>
      </c>
      <c r="E146" s="403"/>
      <c r="F146" s="403"/>
    </row>
    <row r="147" spans="2:6" ht="26.45" hidden="1" customHeight="1" x14ac:dyDescent="0.2">
      <c r="B147" s="391" t="s">
        <v>601</v>
      </c>
      <c r="C147" s="402" t="s">
        <v>602</v>
      </c>
      <c r="D147" s="403">
        <v>1870</v>
      </c>
      <c r="E147" s="403"/>
      <c r="F147" s="403"/>
    </row>
    <row r="149" spans="2:6" x14ac:dyDescent="0.2">
      <c r="B149" s="374"/>
    </row>
    <row r="150" spans="2:6" x14ac:dyDescent="0.2">
      <c r="B150" s="103" t="s">
        <v>962</v>
      </c>
    </row>
    <row r="151" spans="2:6" ht="15" x14ac:dyDescent="0.25">
      <c r="B151" s="180" t="s">
        <v>893</v>
      </c>
    </row>
    <row r="152" spans="2:6" x14ac:dyDescent="0.2">
      <c r="B152" s="3" t="s">
        <v>898</v>
      </c>
    </row>
    <row r="153" spans="2:6" x14ac:dyDescent="0.2">
      <c r="B153" s="838" t="s">
        <v>938</v>
      </c>
      <c r="C153" s="950">
        <f>21%*37%</f>
        <v>7.7699999999999991E-2</v>
      </c>
    </row>
    <row r="155" spans="2:6" ht="15" x14ac:dyDescent="0.25">
      <c r="B155" s="180" t="s">
        <v>926</v>
      </c>
    </row>
    <row r="156" spans="2:6" ht="13.5" thickBot="1" x14ac:dyDescent="0.25">
      <c r="B156" s="3" t="s">
        <v>927</v>
      </c>
    </row>
    <row r="157" spans="2:6" ht="24.75" thickBot="1" x14ac:dyDescent="0.25">
      <c r="B157" s="828" t="s">
        <v>900</v>
      </c>
      <c r="C157" s="829" t="s">
        <v>901</v>
      </c>
      <c r="D157" s="829" t="s">
        <v>668</v>
      </c>
      <c r="E157" s="829" t="s">
        <v>902</v>
      </c>
      <c r="F157" s="829" t="s">
        <v>903</v>
      </c>
    </row>
    <row r="158" spans="2:6" ht="24" x14ac:dyDescent="0.2">
      <c r="B158" s="830" t="s">
        <v>904</v>
      </c>
      <c r="C158" s="831" t="s">
        <v>905</v>
      </c>
      <c r="D158" s="832" t="s">
        <v>906</v>
      </c>
      <c r="E158" s="831" t="s">
        <v>907</v>
      </c>
      <c r="F158" s="833">
        <v>130674</v>
      </c>
    </row>
    <row r="159" spans="2:6" ht="36" x14ac:dyDescent="0.2">
      <c r="B159" s="830" t="s">
        <v>904</v>
      </c>
      <c r="C159" s="831" t="s">
        <v>905</v>
      </c>
      <c r="D159" s="832" t="s">
        <v>908</v>
      </c>
      <c r="E159" s="831" t="s">
        <v>909</v>
      </c>
      <c r="F159" s="833">
        <v>744</v>
      </c>
    </row>
    <row r="160" spans="2:6" ht="24" x14ac:dyDescent="0.2">
      <c r="B160" s="830" t="s">
        <v>904</v>
      </c>
      <c r="C160" s="831" t="s">
        <v>905</v>
      </c>
      <c r="D160" s="832" t="s">
        <v>910</v>
      </c>
      <c r="E160" s="831" t="s">
        <v>911</v>
      </c>
      <c r="F160" s="833">
        <v>9</v>
      </c>
    </row>
    <row r="161" spans="2:7" ht="24" x14ac:dyDescent="0.2">
      <c r="B161" s="830" t="s">
        <v>904</v>
      </c>
      <c r="C161" s="831" t="s">
        <v>905</v>
      </c>
      <c r="D161" s="832" t="s">
        <v>912</v>
      </c>
      <c r="E161" s="831" t="s">
        <v>913</v>
      </c>
      <c r="F161" s="833">
        <v>1</v>
      </c>
    </row>
    <row r="162" spans="2:7" ht="36" x14ac:dyDescent="0.2">
      <c r="B162" s="830" t="s">
        <v>904</v>
      </c>
      <c r="C162" s="831" t="s">
        <v>905</v>
      </c>
      <c r="D162" s="832" t="s">
        <v>914</v>
      </c>
      <c r="E162" s="831" t="s">
        <v>915</v>
      </c>
      <c r="F162" s="833">
        <v>1</v>
      </c>
    </row>
    <row r="163" spans="2:7" ht="48" x14ac:dyDescent="0.2">
      <c r="B163" s="830" t="s">
        <v>904</v>
      </c>
      <c r="C163" s="831" t="s">
        <v>905</v>
      </c>
      <c r="D163" s="832" t="s">
        <v>916</v>
      </c>
      <c r="E163" s="831" t="s">
        <v>917</v>
      </c>
      <c r="F163" s="833">
        <v>3</v>
      </c>
    </row>
    <row r="164" spans="2:7" ht="60" x14ac:dyDescent="0.2">
      <c r="B164" s="830" t="s">
        <v>904</v>
      </c>
      <c r="C164" s="831" t="s">
        <v>905</v>
      </c>
      <c r="D164" s="832" t="s">
        <v>918</v>
      </c>
      <c r="E164" s="831" t="s">
        <v>919</v>
      </c>
      <c r="F164" s="833">
        <v>1</v>
      </c>
    </row>
    <row r="165" spans="2:7" ht="48" x14ac:dyDescent="0.2">
      <c r="B165" s="830" t="s">
        <v>904</v>
      </c>
      <c r="C165" s="831" t="s">
        <v>905</v>
      </c>
      <c r="D165" s="832" t="s">
        <v>920</v>
      </c>
      <c r="E165" s="831" t="s">
        <v>921</v>
      </c>
      <c r="F165" s="833">
        <v>1</v>
      </c>
    </row>
    <row r="166" spans="2:7" ht="72" x14ac:dyDescent="0.2">
      <c r="B166" s="830" t="s">
        <v>904</v>
      </c>
      <c r="C166" s="831" t="s">
        <v>905</v>
      </c>
      <c r="D166" s="832" t="s">
        <v>922</v>
      </c>
      <c r="E166" s="831" t="s">
        <v>923</v>
      </c>
      <c r="F166" s="833">
        <v>1</v>
      </c>
    </row>
    <row r="167" spans="2:7" ht="48" x14ac:dyDescent="0.2">
      <c r="B167" s="830" t="s">
        <v>904</v>
      </c>
      <c r="C167" s="831" t="s">
        <v>905</v>
      </c>
      <c r="D167" s="832" t="s">
        <v>924</v>
      </c>
      <c r="E167" s="831" t="s">
        <v>925</v>
      </c>
      <c r="F167" s="833">
        <v>36</v>
      </c>
    </row>
    <row r="168" spans="2:7" x14ac:dyDescent="0.2">
      <c r="B168" s="374" t="s">
        <v>442</v>
      </c>
      <c r="F168" s="834">
        <f>SUM(F158:F167)</f>
        <v>131471</v>
      </c>
    </row>
    <row r="169" spans="2:7" x14ac:dyDescent="0.2">
      <c r="B169" s="911" t="s">
        <v>954</v>
      </c>
      <c r="C169" s="912"/>
      <c r="D169" s="912"/>
      <c r="E169" s="912"/>
      <c r="F169" s="913">
        <f>N104</f>
        <v>47334</v>
      </c>
    </row>
    <row r="170" spans="2:7" x14ac:dyDescent="0.2">
      <c r="B170" s="911" t="s">
        <v>953</v>
      </c>
      <c r="C170" s="912"/>
      <c r="D170" s="912"/>
      <c r="E170" s="912"/>
      <c r="F170" s="914">
        <f>F168-F169</f>
        <v>84137</v>
      </c>
      <c r="G170" s="3" t="s">
        <v>1054</v>
      </c>
    </row>
    <row r="171" spans="2:7" x14ac:dyDescent="0.2">
      <c r="B171" s="911" t="s">
        <v>1055</v>
      </c>
      <c r="C171" s="912"/>
      <c r="D171" s="912"/>
      <c r="E171" s="912"/>
      <c r="F171" s="914">
        <v>242235</v>
      </c>
    </row>
    <row r="172" spans="2:7" x14ac:dyDescent="0.2">
      <c r="B172" s="911" t="s">
        <v>955</v>
      </c>
      <c r="C172" s="912"/>
      <c r="D172" s="912"/>
      <c r="E172" s="912"/>
      <c r="F172" s="915">
        <f>F170/F171</f>
        <v>0.34733626437137488</v>
      </c>
    </row>
  </sheetData>
  <sheetProtection algorithmName="SHA-512" hashValue="Pq7h279gy1o5uG02Gt2QjjVvKkIuovoMaz03jbLOWip3E3ErXM4T460dk0TtExb0He5f53SEI+UF+a9cxLoUjw==" saltValue="UFgEdaAHwGkaVyE0tPnPJA==" spinCount="100000" sheet="1" objects="1" scenarios="1"/>
  <protectedRanges>
    <protectedRange sqref="H87:I89" name="Range1_1"/>
    <protectedRange sqref="C51:F51" name="Range7_1"/>
    <protectedRange sqref="G49:J51" name="Range7_3"/>
  </protectedRanges>
  <mergeCells count="28">
    <mergeCell ref="G47:H47"/>
    <mergeCell ref="I47:J47"/>
    <mergeCell ref="G8:G14"/>
    <mergeCell ref="B63:P63"/>
    <mergeCell ref="K137:P137"/>
    <mergeCell ref="C105:H105"/>
    <mergeCell ref="C108:H108"/>
    <mergeCell ref="C110:H110"/>
    <mergeCell ref="K132:P132"/>
    <mergeCell ref="K133:P133"/>
    <mergeCell ref="K135:P135"/>
    <mergeCell ref="K136:P136"/>
    <mergeCell ref="K105:M105"/>
    <mergeCell ref="B106:H106"/>
    <mergeCell ref="B44:F44"/>
    <mergeCell ref="C104:H104"/>
    <mergeCell ref="B123:E123"/>
    <mergeCell ref="C100:H100"/>
    <mergeCell ref="B111:N112"/>
    <mergeCell ref="B57:E57"/>
    <mergeCell ref="C101:H101"/>
    <mergeCell ref="C102:H102"/>
    <mergeCell ref="C103:H103"/>
    <mergeCell ref="B56:P56"/>
    <mergeCell ref="J88:O88"/>
    <mergeCell ref="B83:P83"/>
    <mergeCell ref="B84:E84"/>
    <mergeCell ref="P105:R105"/>
  </mergeCells>
  <hyperlinks>
    <hyperlink ref="B27" r:id="rId1" location="National-Tariff-Payment-System" xr:uid="{DC2E9A33-FD39-42FA-9488-DA82B1643DC0}"/>
    <hyperlink ref="B34" r:id="rId2" location="National-Tariff-Payment-System" xr:uid="{6747C714-C236-4756-A8E6-36536A6B9654}"/>
    <hyperlink ref="B20" r:id="rId3" location="inhalation-powder" display="https://bnf.nice.org.uk/drugs/mannitol/medicinal-forms/ - inhalation-powder" xr:uid="{5B1BA306-6142-4268-849E-378EFDD2D927}"/>
    <hyperlink ref="B19" r:id="rId4" display="https://my.supplychain.nhs.uk/catalogue/product/fag4203" xr:uid="{29063163-307B-4529-8DFE-8810B2211232}"/>
    <hyperlink ref="B18" r:id="rId5" display="https://abuhb.nhs.wales/files/patient-information-leaflets1/breathing-respiratory/nebuliser-care-of-your-nebuliser-pdf/" xr:uid="{6AC89B99-C83B-4750-BED7-2EFEDC3421E0}"/>
    <hyperlink ref="B55" r:id="rId6" display="https://www.ncbi.nlm.nih.gov/pmc/articles/PMC10236694/" xr:uid="{5C1AA834-7368-4FCA-8207-ACFC495C6E76}"/>
    <hyperlink ref="B59" r:id="rId7" location="National-Tariff-Payment-System" xr:uid="{8C618B43-CEDB-4FA0-AD03-DD929A9035B3}"/>
    <hyperlink ref="B62" r:id="rId8" display="https://bjgp.org/content/bjgp/74/739/86.full.pdf" xr:uid="{BF0F3707-F6AE-4AD4-B7C0-8F0313ABEECA}"/>
    <hyperlink ref="B107" r:id="rId9" display="https://www.asthmaandlung.org.uk/investing-breath-measuring-economic-cost-asthma-copd-uk-identifying-ways-reduce-it-through-better" xr:uid="{F95A80DB-69BB-4443-8428-1840EF8FD513}"/>
    <hyperlink ref="B109" r:id="rId10" display="https://bjgp.org/content/73/737/565/tab-figures-data" xr:uid="{80D2EE83-2439-4FAB-9E2F-D72C4AC9C557}"/>
    <hyperlink ref="B104" r:id="rId11" display="https://digital.nhs.uk/data-and-information/publications/statistical/hospital-admitted-patient-care-activity/2022-23" xr:uid="{E8B4B7C1-AAE5-44CE-8196-51CEF5E1BC35}"/>
    <hyperlink ref="B151" r:id="rId12" display="https://bjgp.org/content/bjgp/74/739/86.full.pdf" xr:uid="{AA7D8A30-A874-41BA-91E7-24769A21F79C}"/>
    <hyperlink ref="B155" r:id="rId13" display="https://digital.nhs.uk/data-and-information/publications/statistical/hospital-accident--emergency-activity/2023-24" xr:uid="{86C1DEBF-384D-4E4E-B680-65DC66B07F4D}"/>
  </hyperlinks>
  <pageMargins left="0.70866141732283472" right="0.70866141732283472" top="0.74803149606299213" bottom="0.74803149606299213" header="0.31496062992125984" footer="0.31496062992125984"/>
  <pageSetup paperSize="9" scale="30" orientation="portrait" r:id="rId1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9EE44-2485-45E4-B3E5-BCA76A658A5E}">
  <sheetPr>
    <tabColor theme="8" tint="0.59999389629810485"/>
  </sheetPr>
  <dimension ref="A1:N94"/>
  <sheetViews>
    <sheetView showGridLines="0" zoomScale="80" zoomScaleNormal="80" zoomScaleSheetLayoutView="80" workbookViewId="0">
      <selection activeCell="H14" sqref="H14"/>
    </sheetView>
  </sheetViews>
  <sheetFormatPr defaultColWidth="8.5703125" defaultRowHeight="15" x14ac:dyDescent="0.25"/>
  <cols>
    <col min="1" max="1" width="3.5703125" customWidth="1"/>
    <col min="2" max="2" width="56.5703125" style="1" customWidth="1"/>
    <col min="3" max="3" width="11.5703125" style="1" customWidth="1"/>
    <col min="4" max="8" width="11.5703125" customWidth="1"/>
    <col min="9" max="9" width="44.42578125" customWidth="1"/>
    <col min="10" max="10" width="11.5703125" customWidth="1"/>
    <col min="11" max="11" width="1.42578125" customWidth="1"/>
    <col min="24" max="24" width="20.85546875" customWidth="1"/>
  </cols>
  <sheetData>
    <row r="1" spans="2:10" ht="30" customHeight="1" x14ac:dyDescent="0.25">
      <c r="B1" s="264" t="str">
        <f>'Inputs and eligible population'!B1</f>
        <v>Asthma: diagnosis, monitoring and chronic asthma management</v>
      </c>
      <c r="C1" s="70"/>
      <c r="D1" s="68"/>
      <c r="E1" s="68"/>
      <c r="F1" s="68"/>
      <c r="G1" s="68"/>
      <c r="H1" s="68"/>
      <c r="I1" s="68"/>
      <c r="J1" s="68"/>
    </row>
    <row r="2" spans="2:10" ht="30" customHeight="1" x14ac:dyDescent="0.25">
      <c r="B2" s="194" t="s">
        <v>607</v>
      </c>
      <c r="C2" s="68"/>
      <c r="E2" s="60" t="s">
        <v>494</v>
      </c>
      <c r="F2" s="60" t="s">
        <v>494</v>
      </c>
      <c r="G2" s="60" t="s">
        <v>494</v>
      </c>
      <c r="H2" s="60" t="s">
        <v>494</v>
      </c>
      <c r="I2" s="60" t="s">
        <v>494</v>
      </c>
      <c r="J2" s="68"/>
    </row>
    <row r="3" spans="2:10" x14ac:dyDescent="0.25">
      <c r="B3" s="62" t="s">
        <v>494</v>
      </c>
      <c r="C3" s="62"/>
      <c r="D3" s="65" t="s">
        <v>494</v>
      </c>
      <c r="E3" s="65" t="s">
        <v>494</v>
      </c>
      <c r="F3" s="65" t="s">
        <v>494</v>
      </c>
      <c r="G3" s="65" t="s">
        <v>494</v>
      </c>
      <c r="H3" s="65" t="s">
        <v>494</v>
      </c>
      <c r="I3" s="65" t="s">
        <v>494</v>
      </c>
      <c r="J3" s="68"/>
    </row>
    <row r="4" spans="2:10" x14ac:dyDescent="0.25">
      <c r="B4" t="s">
        <v>608</v>
      </c>
      <c r="C4"/>
      <c r="J4" s="68"/>
    </row>
    <row r="5" spans="2:10" x14ac:dyDescent="0.25">
      <c r="B5" t="s">
        <v>609</v>
      </c>
      <c r="C5"/>
      <c r="J5" s="68"/>
    </row>
    <row r="6" spans="2:10" ht="29.45" customHeight="1" x14ac:dyDescent="0.25">
      <c r="B6" s="992" t="s">
        <v>610</v>
      </c>
      <c r="C6" s="992"/>
      <c r="D6" s="992"/>
      <c r="E6" s="992"/>
      <c r="F6" s="992"/>
      <c r="G6" s="992"/>
      <c r="J6" s="68"/>
    </row>
    <row r="7" spans="2:10" ht="28.9" customHeight="1" x14ac:dyDescent="0.25">
      <c r="B7" s="1032" t="s">
        <v>949</v>
      </c>
      <c r="C7" s="1032"/>
      <c r="D7" s="1032"/>
      <c r="E7" s="1032"/>
      <c r="F7" s="1032"/>
      <c r="G7" s="1032"/>
      <c r="H7" s="1032"/>
      <c r="I7" s="65" t="s">
        <v>611</v>
      </c>
      <c r="J7" s="68"/>
    </row>
    <row r="8" spans="2:10" ht="45" x14ac:dyDescent="0.25">
      <c r="B8" s="139" t="s">
        <v>612</v>
      </c>
      <c r="C8" s="611" t="s">
        <v>477</v>
      </c>
      <c r="D8" s="451" t="s">
        <v>434</v>
      </c>
      <c r="E8" s="451" t="s">
        <v>435</v>
      </c>
      <c r="F8" s="649" t="s">
        <v>613</v>
      </c>
      <c r="G8" s="649" t="s">
        <v>614</v>
      </c>
      <c r="H8" s="451" t="s">
        <v>615</v>
      </c>
      <c r="J8" s="68"/>
    </row>
    <row r="9" spans="2:10" s="73" customFormat="1" x14ac:dyDescent="0.25">
      <c r="B9" s="118" t="s">
        <v>616</v>
      </c>
      <c r="C9" s="620">
        <f>'Inputs and eligible population'!F50</f>
        <v>404754.16519999999</v>
      </c>
      <c r="D9" s="620">
        <f>'Inputs and eligible population'!G50</f>
        <v>407992.19852159999</v>
      </c>
      <c r="E9" s="620">
        <f>'Inputs and eligible population'!H50</f>
        <v>411256.13610977284</v>
      </c>
      <c r="F9" s="620">
        <f>'Inputs and eligible population'!I50</f>
        <v>414546.18519865104</v>
      </c>
      <c r="G9" s="620">
        <f>'Inputs and eligible population'!J50</f>
        <v>417862.55468024028</v>
      </c>
      <c r="H9" s="620">
        <f>'Inputs and eligible population'!K50</f>
        <v>421205.45511768217</v>
      </c>
      <c r="I9"/>
      <c r="J9" s="68"/>
    </row>
    <row r="10" spans="2:10" s="73" customFormat="1" x14ac:dyDescent="0.25">
      <c r="B10" s="118" t="s">
        <v>617</v>
      </c>
      <c r="C10" s="608"/>
      <c r="D10" s="608"/>
      <c r="E10" s="608"/>
      <c r="F10" s="608"/>
      <c r="G10" s="608"/>
      <c r="H10" s="608"/>
      <c r="I10"/>
      <c r="J10" s="68"/>
    </row>
    <row r="11" spans="2:10" s="73" customFormat="1" x14ac:dyDescent="0.25">
      <c r="B11" s="85" t="s">
        <v>737</v>
      </c>
      <c r="C11" s="608">
        <f>'Inputs and eligible population'!F47</f>
        <v>20332.241264666209</v>
      </c>
      <c r="D11" s="608">
        <f>'Inputs and eligible population'!G47</f>
        <v>20494.899194783538</v>
      </c>
      <c r="E11" s="608">
        <f>'Inputs and eligible population'!H47</f>
        <v>20658.858388341807</v>
      </c>
      <c r="F11" s="608">
        <f>'Inputs and eligible population'!I47</f>
        <v>20824.129255448544</v>
      </c>
      <c r="G11" s="608">
        <f>'Inputs and eligible population'!J47</f>
        <v>20990.722289492132</v>
      </c>
      <c r="H11" s="608">
        <f>'Inputs and eligible population'!K47</f>
        <v>21158.64806780807</v>
      </c>
      <c r="I11"/>
      <c r="J11" s="68"/>
    </row>
    <row r="12" spans="2:10" s="73" customFormat="1" x14ac:dyDescent="0.25">
      <c r="B12" s="85" t="s">
        <v>618</v>
      </c>
      <c r="C12" s="620">
        <f t="shared" ref="C12:H12" si="0">SUM(C11:C11)</f>
        <v>20332.241264666209</v>
      </c>
      <c r="D12" s="620">
        <f t="shared" si="0"/>
        <v>20494.899194783538</v>
      </c>
      <c r="E12" s="620">
        <f t="shared" si="0"/>
        <v>20658.858388341807</v>
      </c>
      <c r="F12" s="620">
        <f t="shared" si="0"/>
        <v>20824.129255448544</v>
      </c>
      <c r="G12" s="620">
        <f t="shared" si="0"/>
        <v>20990.722289492132</v>
      </c>
      <c r="H12" s="620">
        <f t="shared" si="0"/>
        <v>21158.64806780807</v>
      </c>
      <c r="I12"/>
      <c r="J12" s="68"/>
    </row>
    <row r="13" spans="2:10" ht="14.85" customHeight="1" x14ac:dyDescent="0.25">
      <c r="B13" s="132"/>
      <c r="C13" s="814"/>
      <c r="D13" s="814"/>
      <c r="E13" s="814"/>
      <c r="F13" s="814"/>
      <c r="G13" s="814"/>
      <c r="H13" s="814"/>
      <c r="J13" s="65"/>
    </row>
    <row r="14" spans="2:10" ht="45" x14ac:dyDescent="0.25">
      <c r="B14" s="650" t="s">
        <v>741</v>
      </c>
      <c r="C14" s="611" t="s">
        <v>477</v>
      </c>
      <c r="D14" s="451" t="s">
        <v>434</v>
      </c>
      <c r="E14" s="451" t="s">
        <v>435</v>
      </c>
      <c r="F14" s="649" t="s">
        <v>613</v>
      </c>
      <c r="G14" s="649" t="s">
        <v>614</v>
      </c>
      <c r="H14" s="451" t="s">
        <v>615</v>
      </c>
      <c r="J14" s="65"/>
    </row>
    <row r="15" spans="2:10" x14ac:dyDescent="0.25">
      <c r="B15" s="631" t="s">
        <v>742</v>
      </c>
      <c r="C15" s="608"/>
      <c r="D15" s="608"/>
      <c r="E15" s="608"/>
      <c r="F15" s="608"/>
      <c r="G15" s="608"/>
      <c r="H15" s="608"/>
      <c r="J15" s="65"/>
    </row>
    <row r="16" spans="2:10" x14ac:dyDescent="0.25">
      <c r="B16" s="628" t="s">
        <v>856</v>
      </c>
      <c r="C16" s="608">
        <f>'Interventions inputs'!L23+'Interventions inputs'!L44</f>
        <v>29475.317483531369</v>
      </c>
      <c r="D16" s="608">
        <f>'Interventions inputs'!M23+'Interventions inputs'!M44</f>
        <v>31691.861358292932</v>
      </c>
      <c r="E16" s="608">
        <f>'Interventions inputs'!N23+'Interventions inputs'!N44</f>
        <v>33941.983514731735</v>
      </c>
      <c r="F16" s="608">
        <f>'Interventions inputs'!O23+'Interventions inputs'!O44</f>
        <v>36226.079346546619</v>
      </c>
      <c r="G16" s="608">
        <f>'Interventions inputs'!P23+'Interventions inputs'!P44</f>
        <v>38544.548424725603</v>
      </c>
      <c r="H16" s="608">
        <f>'Interventions inputs'!Q23+'Interventions inputs'!Q44</f>
        <v>40897.79453907728</v>
      </c>
      <c r="J16" s="65"/>
    </row>
    <row r="17" spans="2:10" x14ac:dyDescent="0.25">
      <c r="B17" s="628" t="s">
        <v>738</v>
      </c>
      <c r="C17" s="608">
        <f>'Interventions inputs'!L24+'Interventions inputs'!L45</f>
        <v>181764.45781511013</v>
      </c>
      <c r="D17" s="608">
        <f>'Interventions inputs'!M24+'Interventions inputs'!M45</f>
        <v>182228.20281018436</v>
      </c>
      <c r="E17" s="608">
        <f>'Interventions inputs'!N24+'Interventions inputs'!N45</f>
        <v>182687.7347998796</v>
      </c>
      <c r="F17" s="608">
        <f>'Interventions inputs'!O24+'Interventions inputs'!O45</f>
        <v>183142.95669643013</v>
      </c>
      <c r="G17" s="608">
        <f>'Interventions inputs'!P24+'Interventions inputs'!P45</f>
        <v>183593.77012829829</v>
      </c>
      <c r="H17" s="608">
        <f>'Interventions inputs'!Q24+'Interventions inputs'!Q45</f>
        <v>184040.07542584772</v>
      </c>
      <c r="J17" s="65"/>
    </row>
    <row r="18" spans="2:10" x14ac:dyDescent="0.25">
      <c r="B18" s="628" t="s">
        <v>857</v>
      </c>
      <c r="C18" s="608">
        <f>'Interventions inputs'!L25+'Interventions inputs'!L46</f>
        <v>181764.45781511013</v>
      </c>
      <c r="D18" s="608">
        <f>'Interventions inputs'!M25+'Interventions inputs'!M46</f>
        <v>182228.20281018436</v>
      </c>
      <c r="E18" s="608">
        <f>'Interventions inputs'!N25+'Interventions inputs'!N46</f>
        <v>182687.7347998796</v>
      </c>
      <c r="F18" s="608">
        <f>'Interventions inputs'!O25+'Interventions inputs'!O46</f>
        <v>183142.95669643013</v>
      </c>
      <c r="G18" s="608">
        <f>'Interventions inputs'!P25+'Interventions inputs'!P46</f>
        <v>183593.77012829829</v>
      </c>
      <c r="H18" s="608">
        <f>'Interventions inputs'!Q25+'Interventions inputs'!Q46</f>
        <v>184040.07542584772</v>
      </c>
      <c r="J18" s="65"/>
    </row>
    <row r="19" spans="2:10" x14ac:dyDescent="0.25">
      <c r="B19" s="473" t="s">
        <v>442</v>
      </c>
      <c r="C19" s="452">
        <f t="shared" ref="C19:H19" si="1">SUM(C16:C18)</f>
        <v>393004.23311375163</v>
      </c>
      <c r="D19" s="452">
        <f t="shared" si="1"/>
        <v>396148.26697866165</v>
      </c>
      <c r="E19" s="452">
        <f t="shared" si="1"/>
        <v>399317.45311449096</v>
      </c>
      <c r="F19" s="452">
        <f t="shared" si="1"/>
        <v>402511.99273940688</v>
      </c>
      <c r="G19" s="452">
        <f t="shared" si="1"/>
        <v>405732.08868132217</v>
      </c>
      <c r="H19" s="469">
        <f t="shared" si="1"/>
        <v>408977.94539077271</v>
      </c>
      <c r="J19" s="65"/>
    </row>
    <row r="20" spans="2:10" x14ac:dyDescent="0.25">
      <c r="B20" s="739"/>
      <c r="C20" s="740"/>
      <c r="D20" s="740"/>
      <c r="E20" s="740"/>
      <c r="F20" s="740"/>
      <c r="G20" s="740"/>
      <c r="H20" s="740"/>
      <c r="J20" s="65"/>
    </row>
    <row r="21" spans="2:10" ht="45" x14ac:dyDescent="0.25">
      <c r="B21" s="650" t="s">
        <v>741</v>
      </c>
      <c r="C21" s="611" t="s">
        <v>477</v>
      </c>
      <c r="D21" s="451" t="s">
        <v>434</v>
      </c>
      <c r="E21" s="451" t="s">
        <v>435</v>
      </c>
      <c r="F21" s="649" t="s">
        <v>613</v>
      </c>
      <c r="G21" s="649" t="s">
        <v>614</v>
      </c>
      <c r="H21" s="451" t="s">
        <v>615</v>
      </c>
      <c r="J21" s="65"/>
    </row>
    <row r="22" spans="2:10" x14ac:dyDescent="0.25">
      <c r="B22" s="631" t="s">
        <v>743</v>
      </c>
      <c r="C22" s="608"/>
      <c r="D22" s="608"/>
      <c r="E22" s="608"/>
      <c r="F22" s="608"/>
      <c r="G22" s="608"/>
      <c r="H22" s="608"/>
      <c r="J22" s="65"/>
    </row>
    <row r="23" spans="2:10" x14ac:dyDescent="0.25">
      <c r="B23" s="628" t="s">
        <v>856</v>
      </c>
      <c r="C23" s="608">
        <f>'Interventions inputs'!L28+'Interventions inputs'!L49</f>
        <v>9913.3915654326174</v>
      </c>
      <c r="D23" s="608">
        <f>'Interventions inputs'!M28+'Interventions inputs'!M49</f>
        <v>9992.6986979560788</v>
      </c>
      <c r="E23" s="608">
        <f>'Interventions inputs'!N28+'Interventions inputs'!N49</f>
        <v>10072.640287539729</v>
      </c>
      <c r="F23" s="608">
        <f>'Interventions inputs'!O28+'Interventions inputs'!O49</f>
        <v>10153.221409840045</v>
      </c>
      <c r="G23" s="608">
        <f>'Interventions inputs'!P28+'Interventions inputs'!P49</f>
        <v>10234.447181118767</v>
      </c>
      <c r="H23" s="608">
        <f>'Interventions inputs'!Q28+'Interventions inputs'!Q49</f>
        <v>10316.322758567718</v>
      </c>
      <c r="J23" s="65"/>
    </row>
    <row r="24" spans="2:10" x14ac:dyDescent="0.25">
      <c r="B24" s="628" t="s">
        <v>738</v>
      </c>
      <c r="C24" s="608">
        <f>'Interventions inputs'!L29+'Interventions inputs'!L50</f>
        <v>11010.178212124971</v>
      </c>
      <c r="D24" s="608">
        <f>'Interventions inputs'!M29+'Interventions inputs'!M50</f>
        <v>11098.259637821971</v>
      </c>
      <c r="E24" s="608">
        <f>'Interventions inputs'!N29+'Interventions inputs'!N50</f>
        <v>11187.045714924547</v>
      </c>
      <c r="F24" s="608">
        <f>'Interventions inputs'!O29+'Interventions inputs'!O50</f>
        <v>11276.542080643943</v>
      </c>
      <c r="G24" s="608">
        <f>'Interventions inputs'!P29+'Interventions inputs'!P50</f>
        <v>11366.754417289096</v>
      </c>
      <c r="H24" s="608">
        <f>'Interventions inputs'!Q29+'Interventions inputs'!Q50</f>
        <v>11457.688452627408</v>
      </c>
      <c r="J24" s="65"/>
    </row>
    <row r="25" spans="2:10" x14ac:dyDescent="0.25">
      <c r="B25" s="628" t="s">
        <v>857</v>
      </c>
      <c r="C25" s="608">
        <f>'Interventions inputs'!L30+'Interventions inputs'!L51</f>
        <v>11158.603573357033</v>
      </c>
      <c r="D25" s="608">
        <f>'Interventions inputs'!M30+'Interventions inputs'!M51</f>
        <v>11247.872401943891</v>
      </c>
      <c r="E25" s="608">
        <f>'Interventions inputs'!N30+'Interventions inputs'!N51</f>
        <v>11337.855381159443</v>
      </c>
      <c r="F25" s="608">
        <f>'Interventions inputs'!O30+'Interventions inputs'!O51</f>
        <v>11428.558224208718</v>
      </c>
      <c r="G25" s="608">
        <f>'Interventions inputs'!P30+'Interventions inputs'!P51</f>
        <v>11519.986690002388</v>
      </c>
      <c r="H25" s="608">
        <f>'Interventions inputs'!Q30+'Interventions inputs'!Q51</f>
        <v>11612.146583522408</v>
      </c>
      <c r="J25" s="65"/>
    </row>
    <row r="26" spans="2:10" x14ac:dyDescent="0.25">
      <c r="B26" s="468" t="s">
        <v>442</v>
      </c>
      <c r="C26" s="469">
        <f t="shared" ref="C26:H26" si="2">SUM(C23:C25)</f>
        <v>32082.173350914622</v>
      </c>
      <c r="D26" s="469">
        <f t="shared" si="2"/>
        <v>32338.830737721939</v>
      </c>
      <c r="E26" s="469">
        <f t="shared" si="2"/>
        <v>32597.541383623717</v>
      </c>
      <c r="F26" s="469">
        <f t="shared" si="2"/>
        <v>32858.321714692705</v>
      </c>
      <c r="G26" s="469">
        <f t="shared" si="2"/>
        <v>33121.188288410252</v>
      </c>
      <c r="H26" s="469">
        <f t="shared" si="2"/>
        <v>33386.157794717532</v>
      </c>
      <c r="J26" s="65"/>
    </row>
    <row r="27" spans="2:10" x14ac:dyDescent="0.25">
      <c r="B27" s="132"/>
      <c r="C27" s="452">
        <f t="shared" ref="C27:H27" si="3">C19+C26</f>
        <v>425086.40646466624</v>
      </c>
      <c r="D27" s="452">
        <f t="shared" si="3"/>
        <v>428487.09771638358</v>
      </c>
      <c r="E27" s="452">
        <f t="shared" si="3"/>
        <v>431914.99449811468</v>
      </c>
      <c r="F27" s="452">
        <f t="shared" si="3"/>
        <v>435370.31445409957</v>
      </c>
      <c r="G27" s="452">
        <f t="shared" si="3"/>
        <v>438853.27696973243</v>
      </c>
      <c r="H27" s="469">
        <f t="shared" si="3"/>
        <v>442364.10318549024</v>
      </c>
      <c r="J27" s="65"/>
    </row>
    <row r="28" spans="2:10" x14ac:dyDescent="0.25">
      <c r="B28" s="132"/>
      <c r="C28" s="185"/>
      <c r="D28" s="185"/>
      <c r="E28" s="185"/>
      <c r="F28" s="185"/>
      <c r="G28" s="185"/>
      <c r="H28" s="185"/>
      <c r="J28" s="65"/>
    </row>
    <row r="29" spans="2:10" ht="45" x14ac:dyDescent="0.25">
      <c r="B29" s="646" t="s">
        <v>836</v>
      </c>
      <c r="C29" s="611" t="s">
        <v>477</v>
      </c>
      <c r="D29" s="451" t="s">
        <v>434</v>
      </c>
      <c r="E29" s="451" t="s">
        <v>435</v>
      </c>
      <c r="F29" s="649" t="s">
        <v>613</v>
      </c>
      <c r="G29" s="649" t="s">
        <v>614</v>
      </c>
      <c r="H29" s="451" t="s">
        <v>615</v>
      </c>
      <c r="J29" s="65"/>
    </row>
    <row r="30" spans="2:10" ht="45" customHeight="1" x14ac:dyDescent="0.25">
      <c r="B30" s="810" t="s">
        <v>837</v>
      </c>
      <c r="C30" s="820"/>
      <c r="D30" s="408"/>
      <c r="E30" s="408"/>
      <c r="F30" s="677"/>
      <c r="G30" s="677"/>
      <c r="H30" s="408"/>
      <c r="J30" s="65"/>
    </row>
    <row r="31" spans="2:10" x14ac:dyDescent="0.25">
      <c r="B31" s="628" t="s">
        <v>838</v>
      </c>
      <c r="C31" s="614"/>
      <c r="D31" s="608">
        <f>'Unit costs'!L70</f>
        <v>0.26435710841153792</v>
      </c>
      <c r="E31" s="608">
        <f>'Unit costs'!M70</f>
        <v>0.26647196527883921</v>
      </c>
      <c r="F31" s="608">
        <f>'Unit costs'!N70</f>
        <v>0.26860374100105133</v>
      </c>
      <c r="G31" s="608">
        <f>'Unit costs'!O70</f>
        <v>0.27075257092906924</v>
      </c>
      <c r="H31" s="608">
        <f>'Unit costs'!P70</f>
        <v>0.27291859149650577</v>
      </c>
      <c r="J31" s="65"/>
    </row>
    <row r="32" spans="2:10" x14ac:dyDescent="0.25">
      <c r="B32" s="628" t="s">
        <v>839</v>
      </c>
      <c r="C32" s="614"/>
      <c r="D32" s="608">
        <f>'Unit costs'!L72</f>
        <v>1.6753766802084957E-2</v>
      </c>
      <c r="E32" s="608">
        <f>'Unit costs'!M72</f>
        <v>1.6887796936500887E-2</v>
      </c>
      <c r="F32" s="608">
        <f>'Unit costs'!N72</f>
        <v>1.7022899311994077E-2</v>
      </c>
      <c r="G32" s="608">
        <f>'Unit costs'!O72</f>
        <v>1.7159082506490009E-2</v>
      </c>
      <c r="H32" s="608">
        <f>'Unit costs'!P72</f>
        <v>1.7296355166541932E-2</v>
      </c>
      <c r="J32" s="65"/>
    </row>
    <row r="33" spans="2:10" x14ac:dyDescent="0.25">
      <c r="B33"/>
      <c r="C33"/>
    </row>
    <row r="34" spans="2:10" ht="45" x14ac:dyDescent="0.25">
      <c r="B34" s="646" t="s">
        <v>836</v>
      </c>
      <c r="C34" s="611" t="s">
        <v>477</v>
      </c>
      <c r="D34" s="451" t="s">
        <v>434</v>
      </c>
      <c r="E34" s="451" t="s">
        <v>435</v>
      </c>
      <c r="F34" s="649" t="s">
        <v>613</v>
      </c>
      <c r="G34" s="649" t="s">
        <v>614</v>
      </c>
      <c r="H34" s="451" t="s">
        <v>615</v>
      </c>
      <c r="J34" s="65"/>
    </row>
    <row r="35" spans="2:10" x14ac:dyDescent="0.25">
      <c r="B35" s="810" t="s">
        <v>840</v>
      </c>
      <c r="C35" s="820"/>
      <c r="D35" s="408"/>
      <c r="E35" s="408"/>
      <c r="F35" s="677"/>
      <c r="G35" s="677"/>
      <c r="H35" s="408"/>
      <c r="J35" s="65"/>
    </row>
    <row r="36" spans="2:10" x14ac:dyDescent="0.25">
      <c r="B36" s="628" t="s">
        <v>838</v>
      </c>
      <c r="C36" s="614"/>
      <c r="D36" s="608">
        <f>'Unit costs'!L76</f>
        <v>7.388479582538551</v>
      </c>
      <c r="E36" s="608">
        <f>'Unit costs'!M76</f>
        <v>7.5004071881293441</v>
      </c>
      <c r="F36" s="608">
        <f>'Unit costs'!N76</f>
        <v>7.6136527727162786</v>
      </c>
      <c r="G36" s="608">
        <f>'Unit costs'!O76</f>
        <v>7.7282302605966038</v>
      </c>
      <c r="H36" s="608">
        <f>'Unit costs'!P76</f>
        <v>7.8441537145055804</v>
      </c>
      <c r="J36" s="65"/>
    </row>
    <row r="37" spans="2:10" x14ac:dyDescent="0.25">
      <c r="B37" s="628" t="s">
        <v>839</v>
      </c>
      <c r="C37" s="614"/>
      <c r="D37" s="608">
        <f>'Unit costs'!L78</f>
        <v>7.1976134076916054E-2</v>
      </c>
      <c r="E37" s="608">
        <f>'Unit costs'!M78</f>
        <v>7.1322249197841359E-2</v>
      </c>
      <c r="F37" s="608">
        <f>'Unit costs'!N78</f>
        <v>7.0653295688135387E-2</v>
      </c>
      <c r="G37" s="608">
        <f>'Unit costs'!O78</f>
        <v>6.9969074298310119E-2</v>
      </c>
      <c r="H37" s="608">
        <f>'Unit costs'!P78</f>
        <v>6.9269383555322861E-2</v>
      </c>
      <c r="J37" s="65"/>
    </row>
    <row r="38" spans="2:10" x14ac:dyDescent="0.25">
      <c r="B38" s="132"/>
      <c r="C38" s="185"/>
      <c r="D38" s="185"/>
      <c r="E38" s="185"/>
      <c r="F38" s="185"/>
      <c r="G38" s="185"/>
      <c r="H38" s="185"/>
      <c r="J38" s="65"/>
    </row>
    <row r="39" spans="2:10" x14ac:dyDescent="0.25">
      <c r="B39" s="132"/>
      <c r="C39" s="185"/>
      <c r="D39" s="185"/>
      <c r="E39" s="185"/>
      <c r="F39" s="185"/>
      <c r="G39" s="185"/>
      <c r="H39" s="185"/>
      <c r="J39" s="65"/>
    </row>
    <row r="40" spans="2:10" ht="45" x14ac:dyDescent="0.25">
      <c r="B40" s="651" t="s">
        <v>762</v>
      </c>
      <c r="C40" s="611" t="s">
        <v>477</v>
      </c>
      <c r="D40" s="451" t="s">
        <v>434</v>
      </c>
      <c r="E40" s="451" t="s">
        <v>435</v>
      </c>
      <c r="F40" s="649" t="s">
        <v>613</v>
      </c>
      <c r="G40" s="649" t="s">
        <v>614</v>
      </c>
      <c r="H40" s="451" t="s">
        <v>615</v>
      </c>
      <c r="J40" s="65"/>
    </row>
    <row r="41" spans="2:10" x14ac:dyDescent="0.25">
      <c r="B41" s="631" t="s">
        <v>619</v>
      </c>
      <c r="C41" s="821"/>
      <c r="D41" s="620"/>
      <c r="E41" s="620"/>
      <c r="F41" s="620"/>
      <c r="G41" s="620"/>
      <c r="H41" s="620"/>
      <c r="J41" s="65"/>
    </row>
    <row r="42" spans="2:10" x14ac:dyDescent="0.25">
      <c r="B42" s="628" t="s">
        <v>828</v>
      </c>
      <c r="C42" s="613"/>
      <c r="D42" s="608">
        <f>'Interventions inputs'!M64</f>
        <v>1844.5409275305185</v>
      </c>
      <c r="E42" s="608">
        <f>'Interventions inputs'!N64</f>
        <v>2788.9458824261437</v>
      </c>
      <c r="F42" s="608">
        <f>'Interventions inputs'!O64</f>
        <v>3748.3432659807386</v>
      </c>
      <c r="G42" s="608">
        <f>'Interventions inputs'!P64</f>
        <v>3778.330012108584</v>
      </c>
      <c r="H42" s="608">
        <f>'Interventions inputs'!Q64</f>
        <v>3808.5566522054528</v>
      </c>
      <c r="J42" s="65"/>
    </row>
    <row r="43" spans="2:10" x14ac:dyDescent="0.25">
      <c r="B43" s="628" t="s">
        <v>442</v>
      </c>
      <c r="C43" s="469"/>
      <c r="D43" s="620">
        <f t="shared" ref="D43:H43" si="4">SUM(D42:D42)</f>
        <v>1844.5409275305185</v>
      </c>
      <c r="E43" s="620">
        <f t="shared" si="4"/>
        <v>2788.9458824261437</v>
      </c>
      <c r="F43" s="620">
        <f t="shared" si="4"/>
        <v>3748.3432659807386</v>
      </c>
      <c r="G43" s="620">
        <f t="shared" si="4"/>
        <v>3778.330012108584</v>
      </c>
      <c r="H43" s="620">
        <f t="shared" si="4"/>
        <v>3808.5566522054528</v>
      </c>
      <c r="J43" s="65"/>
    </row>
    <row r="44" spans="2:10" x14ac:dyDescent="0.25">
      <c r="B44" s="101"/>
      <c r="C44" s="185"/>
      <c r="D44" s="185"/>
      <c r="E44" s="185"/>
      <c r="F44" s="185"/>
      <c r="G44" s="185"/>
      <c r="H44" s="185"/>
      <c r="J44" s="65"/>
    </row>
    <row r="45" spans="2:10" ht="15.75" thickBot="1" x14ac:dyDescent="0.3">
      <c r="B45" s="249"/>
      <c r="C45" s="249"/>
      <c r="D45" s="250"/>
      <c r="E45" s="250"/>
      <c r="F45" s="250"/>
      <c r="G45" s="250"/>
      <c r="H45" s="250"/>
      <c r="I45" s="251"/>
      <c r="J45" s="65"/>
    </row>
    <row r="46" spans="2:10" x14ac:dyDescent="0.25">
      <c r="B46" s="144"/>
      <c r="C46" s="144"/>
      <c r="D46" s="171"/>
      <c r="E46" s="171"/>
      <c r="F46" s="171"/>
      <c r="G46" s="171"/>
      <c r="H46" s="171"/>
      <c r="I46" s="65"/>
      <c r="J46" s="65"/>
    </row>
    <row r="47" spans="2:10" ht="45" x14ac:dyDescent="0.25">
      <c r="B47" s="140" t="s">
        <v>620</v>
      </c>
      <c r="C47" s="611" t="s">
        <v>477</v>
      </c>
      <c r="D47" s="451" t="s">
        <v>434</v>
      </c>
      <c r="E47" s="451" t="s">
        <v>435</v>
      </c>
      <c r="F47" s="649" t="s">
        <v>613</v>
      </c>
      <c r="G47" s="649" t="s">
        <v>614</v>
      </c>
      <c r="H47" s="451" t="s">
        <v>615</v>
      </c>
      <c r="I47" s="65"/>
      <c r="J47" s="65"/>
    </row>
    <row r="48" spans="2:10" x14ac:dyDescent="0.25">
      <c r="B48" s="156" t="s">
        <v>621</v>
      </c>
      <c r="C48" s="652" t="s">
        <v>622</v>
      </c>
      <c r="D48" s="652" t="s">
        <v>622</v>
      </c>
      <c r="E48" s="652" t="s">
        <v>622</v>
      </c>
      <c r="F48" s="652" t="s">
        <v>622</v>
      </c>
      <c r="G48" s="652" t="s">
        <v>622</v>
      </c>
      <c r="H48" s="652" t="s">
        <v>622</v>
      </c>
      <c r="I48" s="65"/>
      <c r="J48" s="65"/>
    </row>
    <row r="49" spans="1:10" x14ac:dyDescent="0.25">
      <c r="B49" s="143" t="s">
        <v>623</v>
      </c>
      <c r="C49" s="653">
        <f>'Financial impact (cash)'!D54</f>
        <v>2278.6779365759703</v>
      </c>
      <c r="D49" s="653">
        <f>'Financial impact (cash)'!E54</f>
        <v>2323.8098006038135</v>
      </c>
      <c r="E49" s="653">
        <f>'Financial impact (cash)'!F54</f>
        <v>2362.5734638209201</v>
      </c>
      <c r="F49" s="653">
        <f>'Financial impact (cash)'!G54</f>
        <v>2401.808621822262</v>
      </c>
      <c r="G49" s="653">
        <f>'Financial impact (cash)'!H54</f>
        <v>2434.4643063523281</v>
      </c>
      <c r="H49" s="653">
        <f>'Financial impact (cash)'!I54</f>
        <v>2467.4887660830782</v>
      </c>
      <c r="I49" s="65"/>
      <c r="J49" s="65"/>
    </row>
    <row r="50" spans="1:10" x14ac:dyDescent="0.25">
      <c r="C50" s="552"/>
      <c r="D50" s="654">
        <f>D49-$C$49</f>
        <v>45.131864027843221</v>
      </c>
      <c r="E50" s="654">
        <f>E49-$C$49</f>
        <v>83.89552724494979</v>
      </c>
      <c r="F50" s="654">
        <f>F49-$C$49</f>
        <v>123.1306852462917</v>
      </c>
      <c r="G50" s="654">
        <f>G49-$C$49</f>
        <v>155.78636977635779</v>
      </c>
      <c r="H50" s="654">
        <f>H49-$C$49</f>
        <v>188.81082950710788</v>
      </c>
      <c r="I50" s="655" t="s">
        <v>624</v>
      </c>
      <c r="J50" s="65"/>
    </row>
    <row r="51" spans="1:10" x14ac:dyDescent="0.25">
      <c r="C51" s="42"/>
      <c r="D51" s="654">
        <f>D49-C49</f>
        <v>45.131864027843221</v>
      </c>
      <c r="E51" s="654">
        <f>E49-D49</f>
        <v>38.763663217106568</v>
      </c>
      <c r="F51" s="654">
        <f>F49-E49</f>
        <v>39.235158001341915</v>
      </c>
      <c r="G51" s="654">
        <f>G49-F49</f>
        <v>32.655684530066083</v>
      </c>
      <c r="H51" s="654">
        <f>H49-G49</f>
        <v>33.024459730750095</v>
      </c>
      <c r="I51" s="655" t="s">
        <v>625</v>
      </c>
      <c r="J51" s="65"/>
    </row>
    <row r="52" spans="1:10" x14ac:dyDescent="0.25">
      <c r="B52" s="144"/>
      <c r="C52" s="144"/>
      <c r="D52" s="203"/>
      <c r="E52" s="203"/>
      <c r="F52" s="203"/>
      <c r="G52" s="203"/>
      <c r="H52" s="203"/>
      <c r="J52" s="65"/>
    </row>
    <row r="53" spans="1:10" x14ac:dyDescent="0.25">
      <c r="B53" t="s">
        <v>626</v>
      </c>
      <c r="C53" s="144"/>
      <c r="D53" s="203"/>
      <c r="E53" s="203"/>
      <c r="F53" s="203"/>
      <c r="G53" s="203"/>
      <c r="H53" s="203"/>
      <c r="J53" s="65"/>
    </row>
    <row r="54" spans="1:10" x14ac:dyDescent="0.25">
      <c r="B54" s="656" t="s">
        <v>46</v>
      </c>
      <c r="C54" s="144"/>
      <c r="D54" s="203"/>
      <c r="E54" s="203"/>
      <c r="F54" s="203"/>
      <c r="G54" s="203"/>
      <c r="H54" s="203"/>
      <c r="J54" s="65"/>
    </row>
    <row r="55" spans="1:10" x14ac:dyDescent="0.25">
      <c r="B55" s="144"/>
      <c r="C55" s="144"/>
      <c r="D55" s="203"/>
      <c r="E55" s="203"/>
      <c r="F55" s="203"/>
      <c r="G55" s="203"/>
      <c r="H55" s="203"/>
      <c r="J55" s="65"/>
    </row>
    <row r="56" spans="1:10" ht="45" x14ac:dyDescent="0.25">
      <c r="A56" s="203"/>
      <c r="B56" s="140" t="s">
        <v>627</v>
      </c>
      <c r="C56" s="611" t="s">
        <v>477</v>
      </c>
      <c r="D56" s="451" t="s">
        <v>434</v>
      </c>
      <c r="E56" s="451" t="s">
        <v>435</v>
      </c>
      <c r="F56" s="649" t="s">
        <v>613</v>
      </c>
      <c r="G56" s="649" t="s">
        <v>614</v>
      </c>
      <c r="H56" s="451" t="s">
        <v>615</v>
      </c>
      <c r="J56" s="65"/>
    </row>
    <row r="57" spans="1:10" ht="30" customHeight="1" x14ac:dyDescent="0.25">
      <c r="A57" s="203"/>
      <c r="B57" s="156" t="s">
        <v>628</v>
      </c>
      <c r="C57" s="652" t="s">
        <v>622</v>
      </c>
      <c r="D57" s="652" t="s">
        <v>622</v>
      </c>
      <c r="E57" s="652" t="s">
        <v>622</v>
      </c>
      <c r="F57" s="652" t="s">
        <v>622</v>
      </c>
      <c r="G57" s="652" t="s">
        <v>622</v>
      </c>
      <c r="H57" s="652" t="s">
        <v>622</v>
      </c>
      <c r="J57" s="65"/>
    </row>
    <row r="58" spans="1:10" x14ac:dyDescent="0.25">
      <c r="A58" s="203"/>
      <c r="B58" s="143" t="s">
        <v>629</v>
      </c>
      <c r="C58" s="653">
        <f>IF($B$54="national prices",'Capacity (national prices)'!L19,IF($B$54="local prices",'Capacity (local prices)'!L19,0))</f>
        <v>5748.6411128034779</v>
      </c>
      <c r="D58" s="653">
        <f>IF($B$54="national prices",'Capacity (national prices)'!M19,IF($B$54="local prices",'Capacity (local prices)'!M19,0))</f>
        <v>6139.573336726894</v>
      </c>
      <c r="E58" s="653">
        <f>IF($B$54="national prices",'Capacity (national prices)'!N19,IF($B$54="local prices",'Capacity (local prices)'!N19,0))</f>
        <v>6428.3413152591311</v>
      </c>
      <c r="F58" s="653">
        <f>IF($B$54="national prices",'Capacity (national prices)'!O19,IF($B$54="local prices",'Capacity (local prices)'!O19,0))</f>
        <v>6720.1696840100858</v>
      </c>
      <c r="G58" s="653">
        <f>IF($B$54="national prices",'Capacity (national prices)'!P19,IF($B$54="local prices",'Capacity (local prices)'!P19,0))</f>
        <v>6782.4625586499642</v>
      </c>
      <c r="H58" s="653">
        <f>IF($B$54="national prices",'Capacity (national prices)'!Q19,IF($B$54="local prices",'Capacity (local prices)'!Q19,0))</f>
        <v>6844.4161803479974</v>
      </c>
      <c r="J58" s="65"/>
    </row>
    <row r="59" spans="1:10" x14ac:dyDescent="0.25">
      <c r="A59" s="203"/>
      <c r="C59" s="552"/>
      <c r="D59" s="654">
        <f>D58-$C$58</f>
        <v>390.93222392341613</v>
      </c>
      <c r="E59" s="654">
        <f>E58-$C$58</f>
        <v>679.7002024556532</v>
      </c>
      <c r="F59" s="654">
        <f>F58-$C$58</f>
        <v>971.52857120660792</v>
      </c>
      <c r="G59" s="654">
        <f>G58-$C$58</f>
        <v>1033.8214458464863</v>
      </c>
      <c r="H59" s="654">
        <f>H58-$C$58</f>
        <v>1095.7750675445195</v>
      </c>
      <c r="I59" s="655" t="s">
        <v>624</v>
      </c>
      <c r="J59" s="65"/>
    </row>
    <row r="60" spans="1:10" x14ac:dyDescent="0.25">
      <c r="A60" s="203"/>
      <c r="C60" s="42"/>
      <c r="D60" s="654">
        <f>D58-C58</f>
        <v>390.93222392341613</v>
      </c>
      <c r="E60" s="654">
        <f>E58-D58</f>
        <v>288.76797853223707</v>
      </c>
      <c r="F60" s="654">
        <f>F58-E58</f>
        <v>291.82836875095472</v>
      </c>
      <c r="G60" s="654">
        <f>G58-F58</f>
        <v>62.292874639878391</v>
      </c>
      <c r="H60" s="654">
        <f>H58-G58</f>
        <v>61.953621698033203</v>
      </c>
      <c r="I60" s="655" t="s">
        <v>625</v>
      </c>
      <c r="J60" s="65"/>
    </row>
    <row r="61" spans="1:10" x14ac:dyDescent="0.25">
      <c r="A61" s="203"/>
      <c r="B61" s="203"/>
      <c r="C61" s="203"/>
      <c r="D61" s="203"/>
      <c r="E61" s="203"/>
      <c r="F61" s="203"/>
      <c r="G61" s="203"/>
      <c r="H61" s="203"/>
      <c r="J61" s="65"/>
    </row>
    <row r="62" spans="1:10" ht="45" x14ac:dyDescent="0.25">
      <c r="A62" s="203"/>
      <c r="B62" s="140" t="s">
        <v>630</v>
      </c>
      <c r="C62" s="611" t="s">
        <v>477</v>
      </c>
      <c r="D62" s="451" t="s">
        <v>434</v>
      </c>
      <c r="E62" s="451" t="s">
        <v>435</v>
      </c>
      <c r="F62" s="649" t="s">
        <v>613</v>
      </c>
      <c r="G62" s="649" t="s">
        <v>614</v>
      </c>
      <c r="H62" s="451" t="s">
        <v>615</v>
      </c>
      <c r="J62" s="65"/>
    </row>
    <row r="63" spans="1:10" x14ac:dyDescent="0.25">
      <c r="B63" s="156"/>
      <c r="C63" s="652" t="s">
        <v>622</v>
      </c>
      <c r="D63" s="652" t="s">
        <v>622</v>
      </c>
      <c r="E63" s="652" t="s">
        <v>622</v>
      </c>
      <c r="F63" s="652" t="s">
        <v>622</v>
      </c>
      <c r="G63" s="652" t="s">
        <v>622</v>
      </c>
      <c r="H63" s="652" t="s">
        <v>622</v>
      </c>
      <c r="I63" s="65"/>
      <c r="J63" s="65"/>
    </row>
    <row r="64" spans="1:10" x14ac:dyDescent="0.25">
      <c r="B64" s="657" t="s">
        <v>631</v>
      </c>
      <c r="C64" s="658">
        <f>C49+C58</f>
        <v>8027.3190493794482</v>
      </c>
      <c r="D64" s="658">
        <f t="shared" ref="D64:H64" si="5">D49+D58</f>
        <v>8463.3831373307075</v>
      </c>
      <c r="E64" s="658">
        <f t="shared" si="5"/>
        <v>8790.9147790800507</v>
      </c>
      <c r="F64" s="658">
        <f t="shared" si="5"/>
        <v>9121.9783058323483</v>
      </c>
      <c r="G64" s="658">
        <f t="shared" si="5"/>
        <v>9216.9268650022932</v>
      </c>
      <c r="H64" s="658">
        <f t="shared" si="5"/>
        <v>9311.9049464310756</v>
      </c>
      <c r="I64" s="65"/>
      <c r="J64" s="65"/>
    </row>
    <row r="65" spans="2:10" x14ac:dyDescent="0.25">
      <c r="B65" s="246"/>
      <c r="C65" s="247"/>
      <c r="D65" s="248">
        <f>D64-$C$64</f>
        <v>436.06408795125935</v>
      </c>
      <c r="E65" s="248">
        <f t="shared" ref="E65:H65" si="6">E64-$C$64</f>
        <v>763.59572970060253</v>
      </c>
      <c r="F65" s="248">
        <f t="shared" si="6"/>
        <v>1094.6592564529001</v>
      </c>
      <c r="G65" s="248">
        <f t="shared" si="6"/>
        <v>1189.607815622845</v>
      </c>
      <c r="H65" s="248">
        <f t="shared" si="6"/>
        <v>1284.5858970516274</v>
      </c>
      <c r="I65" s="655" t="s">
        <v>624</v>
      </c>
      <c r="J65" s="65"/>
    </row>
    <row r="66" spans="2:10" x14ac:dyDescent="0.25">
      <c r="B66" s="246"/>
      <c r="C66" s="247"/>
      <c r="D66" s="659">
        <f>D64-C64</f>
        <v>436.06408795125935</v>
      </c>
      <c r="E66" s="659">
        <f>E64-D64</f>
        <v>327.53164174934318</v>
      </c>
      <c r="F66" s="659">
        <f>F64-E64</f>
        <v>331.06352675229755</v>
      </c>
      <c r="G66" s="659">
        <f>G64-F64</f>
        <v>94.948559169944929</v>
      </c>
      <c r="H66" s="659">
        <f>H64-G64</f>
        <v>94.978081428782389</v>
      </c>
      <c r="I66" s="655" t="s">
        <v>625</v>
      </c>
      <c r="J66" s="65"/>
    </row>
    <row r="67" spans="2:10" ht="15.75" thickBot="1" x14ac:dyDescent="0.3">
      <c r="B67" s="249"/>
      <c r="C67" s="249"/>
      <c r="D67" s="250"/>
      <c r="E67" s="250"/>
      <c r="F67" s="250"/>
      <c r="G67" s="250"/>
      <c r="H67" s="250"/>
      <c r="I67" s="251"/>
      <c r="J67" s="65"/>
    </row>
    <row r="68" spans="2:10" x14ac:dyDescent="0.25">
      <c r="B68" s="144"/>
      <c r="C68" s="144"/>
      <c r="D68" s="171"/>
      <c r="E68" s="171"/>
      <c r="F68" s="171"/>
      <c r="G68" s="171"/>
      <c r="H68" s="171"/>
      <c r="I68" s="65"/>
      <c r="J68" s="65"/>
    </row>
    <row r="69" spans="2:10" ht="45" x14ac:dyDescent="0.25">
      <c r="B69" s="140" t="s">
        <v>632</v>
      </c>
      <c r="C69" s="660"/>
      <c r="D69" s="451" t="s">
        <v>434</v>
      </c>
      <c r="E69" s="451" t="s">
        <v>435</v>
      </c>
      <c r="F69" s="649" t="s">
        <v>613</v>
      </c>
      <c r="G69" s="649" t="s">
        <v>614</v>
      </c>
      <c r="H69" s="451" t="s">
        <v>615</v>
      </c>
      <c r="I69" s="65"/>
      <c r="J69" s="65"/>
    </row>
    <row r="70" spans="2:10" x14ac:dyDescent="0.25">
      <c r="B70" s="242"/>
      <c r="C70" s="240"/>
      <c r="D70" s="241"/>
      <c r="E70" s="241"/>
      <c r="F70" s="241"/>
      <c r="G70" s="241"/>
      <c r="H70" s="241"/>
      <c r="I70" s="65"/>
      <c r="J70" s="65"/>
    </row>
    <row r="71" spans="2:10" x14ac:dyDescent="0.25">
      <c r="B71" s="140" t="s">
        <v>633</v>
      </c>
      <c r="C71" s="661"/>
      <c r="D71" s="137"/>
      <c r="E71" s="137"/>
      <c r="F71" s="137"/>
      <c r="G71" s="137"/>
      <c r="H71" s="662"/>
      <c r="I71" s="65"/>
      <c r="J71" s="65"/>
    </row>
    <row r="72" spans="2:10" x14ac:dyDescent="0.25">
      <c r="B72" s="305" t="str">
        <f>'Capacity (national prices)'!B10</f>
        <v>Specialty appointments attendances (bronchial challenge test second opinion)</v>
      </c>
      <c r="C72" s="663"/>
      <c r="D72" s="664">
        <f>'Capacity (national prices)'!E26</f>
        <v>1844.5409275305185</v>
      </c>
      <c r="E72" s="664">
        <f>'Capacity (national prices)'!F26</f>
        <v>2788.9458824261437</v>
      </c>
      <c r="F72" s="664">
        <f>'Capacity (national prices)'!G26</f>
        <v>3748.3432659807386</v>
      </c>
      <c r="G72" s="664">
        <f>'Capacity (national prices)'!H26</f>
        <v>3778.330012108584</v>
      </c>
      <c r="H72" s="664">
        <f>'Capacity (national prices)'!I26</f>
        <v>3808.5566522054528</v>
      </c>
      <c r="I72" s="65"/>
      <c r="J72" s="65"/>
    </row>
    <row r="73" spans="2:10" x14ac:dyDescent="0.25">
      <c r="B73" s="176" t="str">
        <f>'Capacity (national prices)'!B12</f>
        <v>Primary care - number of asthma tests</v>
      </c>
      <c r="C73" s="448"/>
      <c r="D73" s="620">
        <f>'Capacity (national prices)'!E41</f>
        <v>3144.0338649100158</v>
      </c>
      <c r="E73" s="620">
        <f>'Capacity (national prices)'!F41</f>
        <v>6313.2200007393258</v>
      </c>
      <c r="F73" s="620">
        <f>'Capacity (national prices)'!G41</f>
        <v>9507.7596256552497</v>
      </c>
      <c r="G73" s="620">
        <f>'Capacity (national prices)'!H41</f>
        <v>12727.855567570543</v>
      </c>
      <c r="H73" s="620">
        <f>'Capacity (national prices)'!I41</f>
        <v>15973.712277021084</v>
      </c>
      <c r="I73" s="65"/>
      <c r="J73" s="65"/>
    </row>
    <row r="74" spans="2:10" x14ac:dyDescent="0.25">
      <c r="B74" s="176" t="str">
        <f>'Capacity (national prices)'!B14</f>
        <v>Secondary care - number of asthma tests</v>
      </c>
      <c r="C74" s="448"/>
      <c r="D74" s="620">
        <f>'Capacity (national prices)'!E59</f>
        <v>256.65738680731738</v>
      </c>
      <c r="E74" s="620">
        <f>'Capacity (national prices)'!F59</f>
        <v>515.36803270909513</v>
      </c>
      <c r="F74" s="620">
        <f>'Capacity (national prices)'!G59</f>
        <v>776.14836377808388</v>
      </c>
      <c r="G74" s="620">
        <f>'Capacity (national prices)'!H59</f>
        <v>1039.0149374956309</v>
      </c>
      <c r="H74" s="620">
        <f>'Capacity (national prices)'!I59</f>
        <v>1303.9844438029104</v>
      </c>
      <c r="I74" s="65"/>
      <c r="J74" s="65"/>
    </row>
    <row r="75" spans="2:10" ht="19.350000000000001" customHeight="1" x14ac:dyDescent="0.25">
      <c r="B75" s="142" t="str">
        <f>'Capacity (national prices)'!B16</f>
        <v>Nursing staffing - reduced use of PEF test for monitoring (primary care)</v>
      </c>
      <c r="C75" s="448"/>
      <c r="D75" s="620">
        <f>'Capacity (national prices)'!E76</f>
        <v>-37770.285770335642</v>
      </c>
      <c r="E75" s="620">
        <f>'Capacity (national prices)'!F76</f>
        <v>-57108.672084747501</v>
      </c>
      <c r="F75" s="620">
        <f>'Capacity (national prices)'!G76</f>
        <v>-76754.055281900641</v>
      </c>
      <c r="G75" s="620">
        <f>'Capacity (national prices)'!H76</f>
        <v>-96710.109655194814</v>
      </c>
      <c r="H75" s="620">
        <f>'Capacity (national prices)'!I76</f>
        <v>-116980.54863892363</v>
      </c>
      <c r="I75" s="65"/>
      <c r="J75" s="65"/>
    </row>
    <row r="76" spans="2:10" x14ac:dyDescent="0.25">
      <c r="I76" s="65"/>
      <c r="J76" s="65"/>
    </row>
    <row r="77" spans="2:10" x14ac:dyDescent="0.25">
      <c r="I77" s="65"/>
      <c r="J77" s="65"/>
    </row>
    <row r="78" spans="2:10" x14ac:dyDescent="0.25">
      <c r="B78" s="140" t="s">
        <v>634</v>
      </c>
      <c r="C78" s="141"/>
      <c r="D78" s="137"/>
      <c r="E78" s="137"/>
      <c r="F78" s="137"/>
      <c r="G78" s="137"/>
      <c r="H78" s="662"/>
      <c r="I78" s="449"/>
      <c r="J78" s="65"/>
    </row>
    <row r="79" spans="2:10" x14ac:dyDescent="0.25">
      <c r="B79" s="142" t="s">
        <v>788</v>
      </c>
      <c r="C79" s="448"/>
      <c r="D79" s="620">
        <f>'Capacity (local prices)'!E32</f>
        <v>2766.8113912957779</v>
      </c>
      <c r="E79" s="620">
        <f>'Capacity (local prices)'!F32</f>
        <v>4183.4188236392156</v>
      </c>
      <c r="F79" s="620">
        <f>'Capacity (local prices)'!G32</f>
        <v>5622.5148989711079</v>
      </c>
      <c r="G79" s="620">
        <f>'Capacity (local prices)'!H32</f>
        <v>5667.4950181628765</v>
      </c>
      <c r="H79" s="620">
        <f>'Capacity (local prices)'!I32</f>
        <v>5712.8349783081794</v>
      </c>
      <c r="I79" s="65"/>
      <c r="J79" s="65"/>
    </row>
    <row r="80" spans="2:10" x14ac:dyDescent="0.25">
      <c r="B80" s="142" t="s">
        <v>789</v>
      </c>
      <c r="C80" s="448"/>
      <c r="D80" s="620">
        <f>'Capacity (local prices)'!E50</f>
        <v>940.59013125224737</v>
      </c>
      <c r="E80" s="620">
        <f>'Capacity (local prices)'!F50</f>
        <v>1886.0639951079793</v>
      </c>
      <c r="F80" s="620">
        <f>'Capacity (local prices)'!G50</f>
        <v>2836.4395335204899</v>
      </c>
      <c r="G80" s="620">
        <f>'Capacity (local prices)'!H50</f>
        <v>3791.7346629553649</v>
      </c>
      <c r="H80" s="620">
        <f>'Capacity (local prices)'!I50</f>
        <v>4751.967272834474</v>
      </c>
      <c r="I80" s="65"/>
      <c r="J80" s="65"/>
    </row>
    <row r="81" spans="2:14" x14ac:dyDescent="0.25">
      <c r="B81" s="142" t="s">
        <v>790</v>
      </c>
      <c r="C81" s="448"/>
      <c r="D81" s="620">
        <f>'Capacity (national prices)'!E68</f>
        <v>93.821672656627925</v>
      </c>
      <c r="E81" s="620">
        <f>'Capacity (national prices)'!F68</f>
        <v>188.39391869450992</v>
      </c>
      <c r="F81" s="620">
        <f>'Capacity (national prices)'!G68</f>
        <v>283.72274270069101</v>
      </c>
      <c r="G81" s="620">
        <f>'Capacity (national prices)'!H68</f>
        <v>379.81419729892332</v>
      </c>
      <c r="H81" s="620">
        <f>'Capacity (national prices)'!I68</f>
        <v>476.67438353394209</v>
      </c>
      <c r="I81" s="65"/>
      <c r="J81" s="65"/>
    </row>
    <row r="82" spans="2:14" x14ac:dyDescent="0.25">
      <c r="B82" s="142" t="str">
        <f>'Capacity (local prices)'!B16</f>
        <v>Nursing staffing - reduced use of PEF test for monitoring</v>
      </c>
      <c r="C82" s="448"/>
      <c r="D82" s="620">
        <f>'Capacity (local prices)'!E76</f>
        <v>-9442.5714425839087</v>
      </c>
      <c r="E82" s="620">
        <f>'Capacity (local prices)'!F76</f>
        <v>-14277.168021186875</v>
      </c>
      <c r="F82" s="620">
        <f>'Capacity (local prices)'!G76</f>
        <v>-19188.51382047516</v>
      </c>
      <c r="G82" s="620">
        <f>'Capacity (local prices)'!H76</f>
        <v>-24177.527413798703</v>
      </c>
      <c r="H82" s="620">
        <f>'Capacity (local prices)'!I76</f>
        <v>-29245.137159730908</v>
      </c>
      <c r="I82" s="65"/>
      <c r="J82" s="65"/>
    </row>
    <row r="83" spans="2:14" x14ac:dyDescent="0.25">
      <c r="I83" s="65"/>
      <c r="J83" s="65"/>
    </row>
    <row r="84" spans="2:14" x14ac:dyDescent="0.25">
      <c r="B84" s="910" t="s">
        <v>635</v>
      </c>
      <c r="C84" s="450"/>
      <c r="D84" s="620">
        <f>D79+D81</f>
        <v>2860.6330639524058</v>
      </c>
      <c r="E84" s="620">
        <f t="shared" ref="E84:H84" si="7">E79+E81</f>
        <v>4371.8127423337255</v>
      </c>
      <c r="F84" s="620">
        <f t="shared" si="7"/>
        <v>5906.2376416717989</v>
      </c>
      <c r="G84" s="620">
        <f t="shared" si="7"/>
        <v>6047.3092154617998</v>
      </c>
      <c r="H84" s="620">
        <f t="shared" si="7"/>
        <v>6189.5093618421215</v>
      </c>
      <c r="I84" s="65"/>
      <c r="J84" s="65"/>
    </row>
    <row r="85" spans="2:14" x14ac:dyDescent="0.25">
      <c r="B85" s="910" t="s">
        <v>855</v>
      </c>
      <c r="C85" s="450"/>
      <c r="D85" s="620">
        <f>D80+D82</f>
        <v>-8501.9813113316613</v>
      </c>
      <c r="E85" s="620">
        <f t="shared" ref="E85:H85" si="8">E80+E82</f>
        <v>-12391.104026078896</v>
      </c>
      <c r="F85" s="620">
        <f t="shared" si="8"/>
        <v>-16352.07428695467</v>
      </c>
      <c r="G85" s="620">
        <f t="shared" si="8"/>
        <v>-20385.792750843339</v>
      </c>
      <c r="H85" s="620">
        <f t="shared" si="8"/>
        <v>-24493.169886896434</v>
      </c>
      <c r="I85" s="65"/>
      <c r="J85" s="65"/>
    </row>
    <row r="86" spans="2:14" x14ac:dyDescent="0.25">
      <c r="I86" s="65"/>
      <c r="J86" s="65"/>
    </row>
    <row r="87" spans="2:14" x14ac:dyDescent="0.25">
      <c r="I87" s="65"/>
      <c r="J87" s="65"/>
    </row>
    <row r="88" spans="2:14" x14ac:dyDescent="0.25">
      <c r="B88" s="140" t="s">
        <v>636</v>
      </c>
      <c r="C88" s="661"/>
      <c r="D88" s="137"/>
      <c r="E88" s="137"/>
      <c r="F88" s="137"/>
      <c r="G88" s="137"/>
      <c r="H88" s="662"/>
      <c r="I88" s="65"/>
      <c r="J88" s="65"/>
    </row>
    <row r="89" spans="2:14" ht="28.5" customHeight="1" x14ac:dyDescent="0.25">
      <c r="B89" s="985" t="str">
        <f>'Capacity (national prices)'!B80</f>
        <v>Adverse events - reduced exacerbations - FeNO monitoring (bed days released)</v>
      </c>
      <c r="C89" s="987"/>
      <c r="D89" s="620">
        <f>'Capacity (national prices)'!E85</f>
        <v>-73.685788088765776</v>
      </c>
      <c r="E89" s="620">
        <f>'Capacity (national prices)'!F85</f>
        <v>-61.648477746584987</v>
      </c>
      <c r="F89" s="620">
        <f>'Capacity (national prices)'!G85</f>
        <v>-51.577582421902733</v>
      </c>
      <c r="G89" s="620">
        <f>'Capacity (national prices)'!H85</f>
        <v>-43.151868557460823</v>
      </c>
      <c r="H89" s="620">
        <f>'Capacity (national prices)'!I85</f>
        <v>-36.10257930991402</v>
      </c>
      <c r="I89" s="65"/>
      <c r="J89" s="65"/>
    </row>
    <row r="90" spans="2:14" ht="27" customHeight="1" x14ac:dyDescent="0.25">
      <c r="B90" s="985" t="s">
        <v>957</v>
      </c>
      <c r="C90" s="987"/>
      <c r="D90" s="620">
        <f>'Capacity (local prices)'!E89</f>
        <v>-485.15684599004504</v>
      </c>
      <c r="E90" s="620">
        <f>'Capacity (local prices)'!F89</f>
        <v>-451.03984032907181</v>
      </c>
      <c r="F90" s="620">
        <f>'Capacity (local prices)'!G89</f>
        <v>-419.32199709338681</v>
      </c>
      <c r="G90" s="620">
        <f>'Capacity (local prices)'!H89</f>
        <v>-389.8346033425845</v>
      </c>
      <c r="H90" s="620">
        <f>'Capacity (local prices)'!I89</f>
        <v>-362.42081030016863</v>
      </c>
      <c r="I90" s="65"/>
      <c r="J90" s="65"/>
    </row>
    <row r="91" spans="2:14" ht="25.15" customHeight="1" x14ac:dyDescent="0.25">
      <c r="B91" s="985" t="s">
        <v>1058</v>
      </c>
      <c r="C91" s="987"/>
      <c r="D91" s="620">
        <f>'Capacity (local prices)'!E90</f>
        <v>0</v>
      </c>
      <c r="E91" s="620">
        <f>'Capacity (local prices)'!F90</f>
        <v>0</v>
      </c>
      <c r="F91" s="620">
        <f>'Capacity (local prices)'!G90</f>
        <v>0</v>
      </c>
      <c r="G91" s="620">
        <f>'Capacity (local prices)'!H90</f>
        <v>0</v>
      </c>
      <c r="H91" s="620">
        <f>'Capacity (local prices)'!I90</f>
        <v>0</v>
      </c>
    </row>
    <row r="92" spans="2:14" x14ac:dyDescent="0.25">
      <c r="D92" s="852"/>
      <c r="E92" s="410"/>
      <c r="F92" s="410"/>
      <c r="G92" s="410"/>
      <c r="H92" s="410"/>
      <c r="I92" s="410"/>
      <c r="J92" s="410"/>
      <c r="K92" s="410"/>
      <c r="L92" s="410"/>
      <c r="M92" s="410"/>
      <c r="N92" s="410"/>
    </row>
    <row r="93" spans="2:14" x14ac:dyDescent="0.25">
      <c r="D93" s="410"/>
      <c r="E93" s="410"/>
      <c r="F93" s="410"/>
      <c r="G93" s="410"/>
      <c r="H93" s="410"/>
      <c r="I93" s="410"/>
      <c r="J93" s="410"/>
      <c r="K93" s="410"/>
      <c r="L93" s="410"/>
      <c r="M93" s="410"/>
      <c r="N93" s="410"/>
    </row>
    <row r="94" spans="2:14" x14ac:dyDescent="0.25">
      <c r="D94" s="1030"/>
      <c r="E94" s="1031"/>
      <c r="F94" s="1031"/>
      <c r="G94" s="1031"/>
      <c r="H94" s="1031"/>
      <c r="I94" s="1031"/>
      <c r="J94" s="1031"/>
      <c r="K94" s="1031"/>
      <c r="L94" s="1031"/>
      <c r="M94" s="1031"/>
      <c r="N94" s="1031"/>
    </row>
  </sheetData>
  <sheetProtection algorithmName="SHA-512" hashValue="AmrFf62n2X+hTrjQhlf2vecrIpT7UKbLFu0oAAIt6Z5Nb5xenvZnfY/ZUNqK39fEW86oepHS32b5ZP6z6XPchg==" saltValue="XkGzrhDjbzN8UNu0yLWBaw==" spinCount="100000" sheet="1" objects="1" scenarios="1"/>
  <mergeCells count="6">
    <mergeCell ref="D94:N94"/>
    <mergeCell ref="B89:C89"/>
    <mergeCell ref="B6:G6"/>
    <mergeCell ref="B90:C90"/>
    <mergeCell ref="B7:H7"/>
    <mergeCell ref="B91:C91"/>
  </mergeCells>
  <phoneticPr fontId="43" type="noConversion"/>
  <pageMargins left="0.70866141732283472" right="0.70866141732283472" top="0.74803149606299213" bottom="0.74803149606299213" header="0.31496062992125984" footer="0.31496062992125984"/>
  <pageSetup paperSize="9" scale="46" fitToHeight="0" orientation="portrait" horizontalDpi="4294967293" r:id="rId1"/>
  <extLst>
    <ext xmlns:x14="http://schemas.microsoft.com/office/spreadsheetml/2009/9/main" uri="{CCE6A557-97BC-4b89-ADB6-D9C93CAAB3DF}">
      <x14:dataValidations xmlns:xm="http://schemas.microsoft.com/office/excel/2006/main" count="1">
        <x14:dataValidation type="list" allowBlank="1" showInputMessage="1" showErrorMessage="1" xr:uid="{0A01E36F-3CBA-4894-82F6-D153E585BD65}">
          <x14:formula1>
            <xm:f>'Population selection'!$S$5:$S$6</xm:f>
          </x14:formula1>
          <xm:sqref>B54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499984740745262"/>
    <pageSetUpPr fitToPage="1"/>
  </sheetPr>
  <dimension ref="B1:AH57"/>
  <sheetViews>
    <sheetView showGridLines="0" zoomScale="80" zoomScaleNormal="80" zoomScaleSheetLayoutView="80" workbookViewId="0">
      <selection activeCell="D35" sqref="D35:I38"/>
    </sheetView>
  </sheetViews>
  <sheetFormatPr defaultColWidth="8.5703125" defaultRowHeight="15" x14ac:dyDescent="0.25"/>
  <cols>
    <col min="1" max="1" width="3.5703125" customWidth="1"/>
    <col min="2" max="2" width="79.7109375" style="1" customWidth="1"/>
    <col min="3" max="8" width="11.5703125" customWidth="1"/>
    <col min="9" max="9" width="10.42578125" customWidth="1"/>
    <col min="10" max="12" width="11.42578125" bestFit="1" customWidth="1"/>
    <col min="13" max="13" width="11.42578125" customWidth="1"/>
    <col min="14" max="14" width="1.5703125" customWidth="1"/>
    <col min="15" max="20" width="10.5703125" customWidth="1"/>
    <col min="22" max="23" width="8.5703125" customWidth="1"/>
    <col min="24" max="24" width="20.85546875" customWidth="1"/>
    <col min="25" max="35" width="8.5703125" customWidth="1"/>
  </cols>
  <sheetData>
    <row r="1" spans="2:34" ht="30" customHeight="1" x14ac:dyDescent="0.25">
      <c r="B1" s="264" t="str">
        <f>'Inputs and eligible population'!B1</f>
        <v>Asthma: diagnosis, monitoring and chronic asthma management</v>
      </c>
      <c r="C1" s="60"/>
      <c r="D1" s="60"/>
      <c r="E1" s="60"/>
      <c r="F1" s="60"/>
      <c r="G1" s="60"/>
      <c r="H1" s="60"/>
      <c r="I1" s="60"/>
      <c r="J1" s="60"/>
      <c r="K1" s="60"/>
      <c r="L1" s="60"/>
      <c r="M1" s="60"/>
      <c r="N1" s="60"/>
      <c r="O1" s="60"/>
      <c r="P1" s="60"/>
      <c r="Q1" s="60"/>
      <c r="R1" s="60"/>
      <c r="S1" s="60"/>
      <c r="T1" s="60"/>
    </row>
    <row r="2" spans="2:34" ht="38.1" customHeight="1" x14ac:dyDescent="0.25">
      <c r="B2" s="672" t="s">
        <v>638</v>
      </c>
      <c r="C2" s="60" t="s">
        <v>494</v>
      </c>
      <c r="D2" s="60" t="s">
        <v>494</v>
      </c>
      <c r="E2" s="60" t="s">
        <v>494</v>
      </c>
      <c r="F2" s="60" t="s">
        <v>494</v>
      </c>
      <c r="G2" s="60" t="s">
        <v>494</v>
      </c>
      <c r="H2" s="60"/>
      <c r="I2" s="60" t="s">
        <v>494</v>
      </c>
      <c r="J2" s="60" t="s">
        <v>494</v>
      </c>
      <c r="K2" s="65"/>
      <c r="L2" s="60"/>
      <c r="M2" s="60"/>
      <c r="N2" s="60"/>
      <c r="O2" s="60"/>
      <c r="P2" s="60"/>
      <c r="Q2" s="60"/>
      <c r="R2" s="60"/>
      <c r="S2" s="60"/>
      <c r="T2" s="60"/>
    </row>
    <row r="3" spans="2:34" x14ac:dyDescent="0.25">
      <c r="B3" s="62" t="s">
        <v>494</v>
      </c>
      <c r="C3" s="65" t="s">
        <v>494</v>
      </c>
      <c r="D3" s="65" t="s">
        <v>494</v>
      </c>
      <c r="E3" s="65" t="s">
        <v>494</v>
      </c>
      <c r="F3" s="65" t="s">
        <v>494</v>
      </c>
      <c r="G3" s="65" t="s">
        <v>494</v>
      </c>
      <c r="H3" s="65" t="s">
        <v>494</v>
      </c>
      <c r="I3" s="65" t="s">
        <v>494</v>
      </c>
      <c r="J3" s="65" t="s">
        <v>494</v>
      </c>
      <c r="K3" s="65"/>
      <c r="L3" s="65"/>
      <c r="M3" s="65"/>
      <c r="N3" s="65"/>
      <c r="O3" s="65"/>
      <c r="P3" s="65"/>
      <c r="Q3" s="65"/>
      <c r="R3" s="65"/>
      <c r="S3" s="65"/>
      <c r="T3" s="65"/>
    </row>
    <row r="4" spans="2:34" s="130" customFormat="1" x14ac:dyDescent="0.25">
      <c r="B4" s="133" t="s">
        <v>639</v>
      </c>
      <c r="F4" s="65"/>
      <c r="G4" s="65"/>
      <c r="H4" s="65"/>
      <c r="I4" s="65"/>
      <c r="J4" s="65" t="s">
        <v>494</v>
      </c>
      <c r="K4" s="65"/>
      <c r="L4" s="65"/>
      <c r="M4" s="65"/>
      <c r="N4" s="65"/>
      <c r="O4" s="65"/>
      <c r="P4" s="65"/>
      <c r="Q4" s="65"/>
      <c r="R4" s="65"/>
      <c r="S4" s="65"/>
      <c r="T4" s="65"/>
    </row>
    <row r="5" spans="2:34" s="130" customFormat="1" x14ac:dyDescent="0.25">
      <c r="B5" s="133" t="s">
        <v>640</v>
      </c>
      <c r="F5" s="65"/>
      <c r="G5" s="65"/>
      <c r="H5" s="65"/>
      <c r="I5" s="65"/>
      <c r="J5" s="65"/>
      <c r="K5" s="65"/>
      <c r="L5" s="65"/>
      <c r="M5" s="65"/>
      <c r="N5" s="65"/>
      <c r="O5" s="65"/>
      <c r="P5" s="65"/>
      <c r="Q5" s="65"/>
      <c r="R5" s="65"/>
      <c r="S5" s="65"/>
      <c r="T5" s="65"/>
    </row>
    <row r="6" spans="2:34" s="130" customFormat="1" ht="24" customHeight="1" x14ac:dyDescent="0.25">
      <c r="B6" s="1032" t="s">
        <v>641</v>
      </c>
      <c r="C6" s="1032"/>
      <c r="D6" s="1032"/>
      <c r="E6" s="1032"/>
      <c r="F6" s="1032"/>
      <c r="G6" s="1032"/>
      <c r="H6" s="1032"/>
      <c r="I6" s="1032"/>
      <c r="J6" s="65" t="s">
        <v>494</v>
      </c>
      <c r="K6" s="65"/>
      <c r="L6" s="65"/>
      <c r="M6" s="65"/>
      <c r="N6" s="65"/>
      <c r="O6" s="65"/>
      <c r="P6" s="65"/>
      <c r="Q6" s="65"/>
      <c r="R6" s="65"/>
      <c r="S6" s="65"/>
      <c r="T6" s="65"/>
    </row>
    <row r="7" spans="2:34" s="130" customFormat="1" ht="45" x14ac:dyDescent="0.25">
      <c r="B7" s="139" t="s">
        <v>642</v>
      </c>
      <c r="C7" s="673"/>
      <c r="D7" s="674" t="s">
        <v>643</v>
      </c>
      <c r="E7" s="451" t="s">
        <v>434</v>
      </c>
      <c r="F7" s="451" t="s">
        <v>435</v>
      </c>
      <c r="G7" s="649" t="s">
        <v>613</v>
      </c>
      <c r="H7" s="649" t="s">
        <v>614</v>
      </c>
      <c r="I7" s="451" t="s">
        <v>615</v>
      </c>
      <c r="K7" s="65"/>
      <c r="L7" s="65"/>
      <c r="N7" s="65"/>
      <c r="O7" s="65"/>
      <c r="P7" s="65"/>
      <c r="Q7" s="65"/>
      <c r="R7" s="65"/>
      <c r="S7" s="65"/>
      <c r="T7" s="65"/>
    </row>
    <row r="8" spans="2:34" s="130" customFormat="1" x14ac:dyDescent="0.25">
      <c r="B8" s="406" t="s">
        <v>644</v>
      </c>
      <c r="C8" s="407"/>
      <c r="D8" s="679">
        <f>Summary!C9</f>
        <v>404754.16519999999</v>
      </c>
      <c r="E8" s="679">
        <f>Summary!D9</f>
        <v>407992.19852159999</v>
      </c>
      <c r="F8" s="679">
        <f>Summary!E9</f>
        <v>411256.13610977284</v>
      </c>
      <c r="G8" s="679">
        <f>Summary!F9</f>
        <v>414546.18519865104</v>
      </c>
      <c r="H8" s="679">
        <f>Summary!G9</f>
        <v>417862.55468024028</v>
      </c>
      <c r="I8" s="679">
        <f>Summary!H9</f>
        <v>421205.45511768217</v>
      </c>
      <c r="K8" s="65"/>
      <c r="L8" s="65"/>
      <c r="N8" s="65"/>
      <c r="O8" s="65"/>
      <c r="P8" s="65"/>
      <c r="Q8" s="65"/>
      <c r="R8" s="65"/>
      <c r="S8" s="65"/>
      <c r="T8" s="65"/>
    </row>
    <row r="9" spans="2:34" s="130" customFormat="1" x14ac:dyDescent="0.25">
      <c r="B9" s="191"/>
      <c r="C9" s="412"/>
      <c r="D9" s="413"/>
      <c r="E9" s="675"/>
      <c r="F9" s="675"/>
      <c r="G9" s="675"/>
      <c r="H9" s="675"/>
      <c r="I9" s="675"/>
      <c r="K9" s="65"/>
      <c r="L9" s="65"/>
      <c r="N9" s="65"/>
      <c r="O9" s="65"/>
      <c r="P9" s="65"/>
      <c r="Q9" s="65"/>
      <c r="R9" s="65"/>
      <c r="S9" s="65"/>
      <c r="T9" s="65"/>
    </row>
    <row r="10" spans="2:34" s="130" customFormat="1" x14ac:dyDescent="0.25">
      <c r="B10" s="406" t="s">
        <v>645</v>
      </c>
      <c r="C10" s="407"/>
      <c r="D10" s="676"/>
      <c r="E10" s="677"/>
      <c r="F10" s="408"/>
      <c r="G10" s="677"/>
      <c r="H10" s="677"/>
      <c r="I10" s="408"/>
      <c r="K10" s="65"/>
      <c r="L10" s="65"/>
      <c r="N10" s="65"/>
      <c r="O10" s="65"/>
      <c r="P10" s="65"/>
      <c r="Q10" s="65"/>
      <c r="R10" s="65"/>
      <c r="S10" s="65"/>
      <c r="T10" s="65"/>
    </row>
    <row r="11" spans="2:34" s="130" customFormat="1" x14ac:dyDescent="0.25">
      <c r="B11" s="411" t="s">
        <v>421</v>
      </c>
      <c r="C11" s="407"/>
      <c r="D11" s="678">
        <f>'Inputs and eligible population'!F47</f>
        <v>20332.241264666209</v>
      </c>
      <c r="E11" s="679">
        <f>'Inputs and eligible population'!G47</f>
        <v>20494.899194783538</v>
      </c>
      <c r="F11" s="679">
        <f>'Inputs and eligible population'!H47</f>
        <v>20658.858388341807</v>
      </c>
      <c r="G11" s="679">
        <f>'Inputs and eligible population'!I47</f>
        <v>20824.129255448544</v>
      </c>
      <c r="H11" s="679">
        <f>'Inputs and eligible population'!J47</f>
        <v>20990.722289492132</v>
      </c>
      <c r="I11" s="679">
        <f>'Inputs and eligible population'!K47</f>
        <v>21158.64806780807</v>
      </c>
      <c r="K11" s="65"/>
      <c r="L11" s="65"/>
      <c r="N11" s="65"/>
      <c r="O11" s="65"/>
      <c r="P11" s="65"/>
      <c r="Q11" s="65"/>
      <c r="R11" s="65"/>
      <c r="S11" s="65"/>
      <c r="T11" s="65"/>
    </row>
    <row r="12" spans="2:34" s="73" customFormat="1" x14ac:dyDescent="0.25">
      <c r="B12" s="118" t="s">
        <v>646</v>
      </c>
      <c r="C12" s="680"/>
      <c r="D12" s="620">
        <f t="shared" ref="D12:I12" si="0">SUM(D11:D11)</f>
        <v>20332.241264666209</v>
      </c>
      <c r="E12" s="620">
        <f t="shared" si="0"/>
        <v>20494.899194783538</v>
      </c>
      <c r="F12" s="620">
        <f t="shared" si="0"/>
        <v>20658.858388341807</v>
      </c>
      <c r="G12" s="620">
        <f t="shared" si="0"/>
        <v>20824.129255448544</v>
      </c>
      <c r="H12" s="620">
        <f t="shared" si="0"/>
        <v>20990.722289492132</v>
      </c>
      <c r="I12" s="620">
        <f t="shared" si="0"/>
        <v>21158.64806780807</v>
      </c>
      <c r="K12" s="65"/>
      <c r="L12" s="65"/>
    </row>
    <row r="13" spans="2:34" s="130" customFormat="1" x14ac:dyDescent="0.25">
      <c r="B13" s="132" t="s">
        <v>494</v>
      </c>
      <c r="C13" s="65" t="s">
        <v>494</v>
      </c>
      <c r="D13" s="951">
        <f>D8+D12</f>
        <v>425086.40646466619</v>
      </c>
      <c r="E13" s="951">
        <f t="shared" ref="E13:I13" si="1">E8+E12</f>
        <v>428487.09771638352</v>
      </c>
      <c r="F13" s="951">
        <f t="shared" si="1"/>
        <v>431914.99449811463</v>
      </c>
      <c r="G13" s="951">
        <f t="shared" si="1"/>
        <v>435370.31445409957</v>
      </c>
      <c r="H13" s="951">
        <f t="shared" si="1"/>
        <v>438853.27696973243</v>
      </c>
      <c r="I13" s="951">
        <f t="shared" si="1"/>
        <v>442364.10318549024</v>
      </c>
      <c r="K13" s="65"/>
      <c r="L13" s="65"/>
      <c r="N13" s="65"/>
      <c r="O13" s="65"/>
      <c r="P13" s="65"/>
      <c r="Q13" s="65"/>
      <c r="R13" s="65"/>
      <c r="S13" s="65"/>
      <c r="T13" s="65"/>
      <c r="AD13" s="145"/>
      <c r="AE13" s="145"/>
      <c r="AF13" s="145"/>
      <c r="AG13" s="145"/>
      <c r="AH13" s="145"/>
    </row>
    <row r="14" spans="2:34" s="130" customFormat="1" x14ac:dyDescent="0.25">
      <c r="B14" s="173" t="s">
        <v>621</v>
      </c>
      <c r="C14" s="174"/>
      <c r="D14" s="175"/>
      <c r="E14" s="175"/>
      <c r="F14" s="175"/>
      <c r="G14" s="175"/>
      <c r="H14" s="175"/>
      <c r="I14" s="666"/>
      <c r="K14" s="65"/>
      <c r="L14" s="65"/>
      <c r="N14" s="65"/>
      <c r="O14" s="65"/>
      <c r="P14" s="65"/>
      <c r="Q14" s="65"/>
      <c r="R14" s="65"/>
      <c r="S14" s="65"/>
      <c r="T14" s="65"/>
    </row>
    <row r="15" spans="2:34" s="130" customFormat="1" x14ac:dyDescent="0.25">
      <c r="B15" s="132"/>
      <c r="C15" s="65"/>
      <c r="D15" s="65"/>
      <c r="E15" s="65"/>
      <c r="F15" s="65"/>
      <c r="G15" s="65"/>
      <c r="H15" s="65"/>
      <c r="I15" s="65"/>
      <c r="N15" s="65"/>
      <c r="O15" s="65"/>
      <c r="P15" s="65"/>
      <c r="Q15" s="65"/>
      <c r="R15" s="65"/>
      <c r="S15" s="65"/>
      <c r="T15" s="65"/>
      <c r="AD15" s="145"/>
      <c r="AE15" s="145"/>
      <c r="AF15" s="145"/>
      <c r="AG15" s="145"/>
      <c r="AH15" s="145"/>
    </row>
    <row r="16" spans="2:34" s="130" customFormat="1" x14ac:dyDescent="0.25">
      <c r="B16" s="148" t="s">
        <v>740</v>
      </c>
      <c r="C16" s="146"/>
      <c r="D16" s="98"/>
      <c r="E16" s="98"/>
      <c r="F16" s="98"/>
      <c r="G16" s="98"/>
      <c r="H16" s="98"/>
      <c r="I16" s="681"/>
      <c r="K16" s="797"/>
      <c r="L16" s="797"/>
      <c r="M16" s="797"/>
      <c r="N16" s="65"/>
      <c r="O16" s="798"/>
      <c r="P16" s="798"/>
      <c r="Q16" s="65"/>
      <c r="R16" s="65"/>
      <c r="S16" s="65"/>
      <c r="T16" s="65"/>
    </row>
    <row r="17" spans="2:34" s="130" customFormat="1" x14ac:dyDescent="0.25">
      <c r="B17" s="427" t="s">
        <v>534</v>
      </c>
      <c r="C17" s="428"/>
      <c r="D17" s="682">
        <f>'Interventions inputs'!L23+'Interventions inputs'!L28+'Interventions inputs'!L44+'Interventions inputs'!L49</f>
        <v>39388.709048963981</v>
      </c>
      <c r="E17" s="682">
        <f>'Interventions inputs'!M23+'Interventions inputs'!M28+'Interventions inputs'!M44+'Interventions inputs'!M49</f>
        <v>41684.560056249007</v>
      </c>
      <c r="F17" s="682">
        <f>'Interventions inputs'!N23+'Interventions inputs'!N28+'Interventions inputs'!N44+'Interventions inputs'!N49</f>
        <v>44014.623802271461</v>
      </c>
      <c r="G17" s="682">
        <f>'Interventions inputs'!O23+'Interventions inputs'!O28+'Interventions inputs'!O44+'Interventions inputs'!O49</f>
        <v>46379.300756386663</v>
      </c>
      <c r="H17" s="682">
        <f>'Interventions inputs'!P23+'Interventions inputs'!P28+'Interventions inputs'!P44+'Interventions inputs'!P49</f>
        <v>48778.995605844371</v>
      </c>
      <c r="I17" s="682">
        <f>'Interventions inputs'!Q23+'Interventions inputs'!Q28+'Interventions inputs'!Q44+'Interventions inputs'!Q49</f>
        <v>51214.117297644996</v>
      </c>
      <c r="K17" s="145"/>
      <c r="L17" s="145"/>
      <c r="M17" s="145"/>
      <c r="N17" s="145"/>
      <c r="O17" s="145"/>
      <c r="P17" s="145"/>
      <c r="Q17" s="65"/>
      <c r="R17" s="65"/>
      <c r="S17" s="65"/>
      <c r="T17" s="65"/>
      <c r="V17" s="145"/>
      <c r="W17" s="145"/>
      <c r="X17" s="145"/>
      <c r="Y17" s="145"/>
      <c r="Z17" s="145"/>
      <c r="AA17" s="145"/>
      <c r="AC17" s="145"/>
      <c r="AD17" s="145"/>
      <c r="AE17" s="145"/>
      <c r="AF17" s="145"/>
      <c r="AG17" s="145"/>
      <c r="AH17" s="145"/>
    </row>
    <row r="18" spans="2:34" s="130" customFormat="1" x14ac:dyDescent="0.25">
      <c r="B18" s="427" t="s">
        <v>484</v>
      </c>
      <c r="C18" s="683"/>
      <c r="D18" s="682">
        <f>'Interventions inputs'!L24+'Interventions inputs'!L29+'Interventions inputs'!L45+'Interventions inputs'!L50</f>
        <v>192774.63602723507</v>
      </c>
      <c r="E18" s="682">
        <f>'Interventions inputs'!M24+'Interventions inputs'!M29+'Interventions inputs'!M45+'Interventions inputs'!M50</f>
        <v>193326.46244800632</v>
      </c>
      <c r="F18" s="682">
        <f>'Interventions inputs'!N24+'Interventions inputs'!N29+'Interventions inputs'!N45+'Interventions inputs'!N50</f>
        <v>193874.78051480415</v>
      </c>
      <c r="G18" s="682">
        <f>'Interventions inputs'!O24+'Interventions inputs'!O29+'Interventions inputs'!O45+'Interventions inputs'!O50</f>
        <v>194419.49877707407</v>
      </c>
      <c r="H18" s="682">
        <f>'Interventions inputs'!P24+'Interventions inputs'!P29+'Interventions inputs'!P45+'Interventions inputs'!P50</f>
        <v>194960.5245455874</v>
      </c>
      <c r="I18" s="682">
        <f>'Interventions inputs'!Q24+'Interventions inputs'!Q29+'Interventions inputs'!Q45+'Interventions inputs'!Q50</f>
        <v>195497.76387847515</v>
      </c>
      <c r="N18" s="65"/>
      <c r="O18" s="65"/>
      <c r="P18" s="65"/>
      <c r="Q18" s="65"/>
      <c r="R18" s="65"/>
      <c r="S18" s="65"/>
      <c r="T18" s="65"/>
      <c r="V18" s="145"/>
      <c r="W18" s="145"/>
      <c r="X18" s="145"/>
      <c r="Y18" s="145"/>
      <c r="Z18" s="145"/>
      <c r="AA18" s="145"/>
      <c r="AC18" s="145"/>
      <c r="AD18" s="145"/>
      <c r="AE18" s="145"/>
      <c r="AF18" s="145"/>
      <c r="AG18" s="145"/>
      <c r="AH18" s="145"/>
    </row>
    <row r="19" spans="2:34" s="130" customFormat="1" x14ac:dyDescent="0.25">
      <c r="B19" s="108" t="s">
        <v>831</v>
      </c>
      <c r="C19" s="428"/>
      <c r="D19" s="682">
        <f>'Interventions inputs'!L25+'Interventions inputs'!L30+'Interventions inputs'!L46+'Interventions inputs'!L51</f>
        <v>192923.06138846715</v>
      </c>
      <c r="E19" s="682">
        <f>'Interventions inputs'!M25+'Interventions inputs'!M30+'Interventions inputs'!M46+'Interventions inputs'!M51</f>
        <v>193476.07521212823</v>
      </c>
      <c r="F19" s="682">
        <f>'Interventions inputs'!N25+'Interventions inputs'!N30+'Interventions inputs'!N46+'Interventions inputs'!N51</f>
        <v>194025.59018103906</v>
      </c>
      <c r="G19" s="682">
        <f>'Interventions inputs'!O25+'Interventions inputs'!O30+'Interventions inputs'!O46+'Interventions inputs'!O51</f>
        <v>194571.51492063885</v>
      </c>
      <c r="H19" s="682">
        <f>'Interventions inputs'!P25+'Interventions inputs'!P30+'Interventions inputs'!P46+'Interventions inputs'!P51</f>
        <v>195113.7568183007</v>
      </c>
      <c r="I19" s="682">
        <f>'Interventions inputs'!Q25+'Interventions inputs'!Q30+'Interventions inputs'!Q46+'Interventions inputs'!Q51</f>
        <v>195652.22200937013</v>
      </c>
      <c r="N19" s="65"/>
      <c r="O19" s="65"/>
      <c r="P19" s="65"/>
      <c r="Q19" s="65"/>
      <c r="R19" s="65"/>
      <c r="S19" s="65"/>
      <c r="T19" s="65"/>
      <c r="V19" s="145"/>
      <c r="W19" s="145"/>
      <c r="X19" s="145"/>
      <c r="Y19" s="145"/>
      <c r="Z19" s="145"/>
      <c r="AA19" s="145"/>
      <c r="AC19" s="145"/>
      <c r="AD19" s="145"/>
      <c r="AE19" s="145"/>
      <c r="AF19" s="145"/>
      <c r="AG19" s="145"/>
      <c r="AH19" s="145"/>
    </row>
    <row r="20" spans="2:34" s="130" customFormat="1" x14ac:dyDescent="0.25">
      <c r="B20" s="148" t="s">
        <v>442</v>
      </c>
      <c r="C20" s="815"/>
      <c r="D20" s="469">
        <f>SUM(D17:D19)</f>
        <v>425086.40646466619</v>
      </c>
      <c r="E20" s="469">
        <f t="shared" ref="E20:I20" si="2">SUM(E17:E19)</f>
        <v>428487.09771638352</v>
      </c>
      <c r="F20" s="469">
        <f t="shared" si="2"/>
        <v>431914.99449811468</v>
      </c>
      <c r="G20" s="469">
        <f t="shared" si="2"/>
        <v>435370.31445409957</v>
      </c>
      <c r="H20" s="469">
        <f t="shared" si="2"/>
        <v>438853.27696973248</v>
      </c>
      <c r="I20" s="469">
        <f t="shared" si="2"/>
        <v>442364.10318549024</v>
      </c>
      <c r="N20" s="65"/>
      <c r="O20" s="65"/>
      <c r="P20" s="65"/>
      <c r="Q20" s="65"/>
      <c r="R20" s="65"/>
      <c r="S20" s="65"/>
      <c r="T20" s="65"/>
      <c r="V20" s="145"/>
      <c r="W20" s="145"/>
      <c r="X20" s="145"/>
      <c r="Y20" s="145"/>
      <c r="Z20" s="145"/>
      <c r="AA20" s="145"/>
      <c r="AC20" s="145"/>
      <c r="AD20" s="145"/>
      <c r="AE20" s="145"/>
      <c r="AF20" s="145"/>
      <c r="AG20" s="145"/>
      <c r="AH20" s="145"/>
    </row>
    <row r="21" spans="2:34" s="130" customFormat="1" x14ac:dyDescent="0.25">
      <c r="B21" s="148" t="s">
        <v>830</v>
      </c>
      <c r="C21" s="815"/>
      <c r="D21" s="469"/>
      <c r="E21" s="469"/>
      <c r="F21" s="469"/>
      <c r="G21" s="469"/>
      <c r="H21" s="469"/>
      <c r="I21" s="469"/>
      <c r="N21" s="65"/>
      <c r="O21" s="65"/>
      <c r="P21" s="65"/>
      <c r="Q21" s="65"/>
      <c r="R21" s="65"/>
      <c r="S21" s="65"/>
      <c r="T21" s="65"/>
      <c r="V21" s="145"/>
      <c r="W21" s="145"/>
      <c r="X21" s="145"/>
      <c r="Y21" s="145"/>
      <c r="Z21" s="145"/>
      <c r="AA21" s="145"/>
      <c r="AC21" s="145"/>
      <c r="AD21" s="145"/>
      <c r="AE21" s="145"/>
      <c r="AF21" s="145"/>
      <c r="AG21" s="145"/>
      <c r="AH21" s="145"/>
    </row>
    <row r="22" spans="2:34" s="130" customFormat="1" x14ac:dyDescent="0.25">
      <c r="B22" s="178" t="s">
        <v>805</v>
      </c>
      <c r="C22" s="429"/>
      <c r="D22" s="682">
        <f>'Interventions inputs'!L64</f>
        <v>0</v>
      </c>
      <c r="E22" s="682">
        <f>'Interventions inputs'!M64</f>
        <v>1844.5409275305185</v>
      </c>
      <c r="F22" s="682">
        <f>'Interventions inputs'!N64</f>
        <v>2788.9458824261437</v>
      </c>
      <c r="G22" s="682">
        <f>'Interventions inputs'!O64</f>
        <v>3748.3432659807386</v>
      </c>
      <c r="H22" s="682">
        <f>'Interventions inputs'!P64</f>
        <v>3778.330012108584</v>
      </c>
      <c r="I22" s="682">
        <f>'Interventions inputs'!Q64</f>
        <v>3808.5566522054528</v>
      </c>
      <c r="N22" s="65"/>
      <c r="O22" s="65"/>
      <c r="P22" s="65"/>
      <c r="Q22" s="65"/>
      <c r="R22" s="65"/>
      <c r="S22" s="65"/>
      <c r="T22" s="65"/>
      <c r="V22" s="145"/>
      <c r="W22" s="145"/>
      <c r="X22" s="145"/>
      <c r="Y22" s="145"/>
      <c r="Z22" s="145"/>
      <c r="AA22" s="145"/>
      <c r="AC22" s="145"/>
      <c r="AD22" s="145"/>
      <c r="AE22" s="145"/>
      <c r="AF22" s="145"/>
      <c r="AG22" s="145"/>
      <c r="AH22" s="145"/>
    </row>
    <row r="23" spans="2:34" s="130" customFormat="1" x14ac:dyDescent="0.25">
      <c r="B23" s="149" t="s">
        <v>829</v>
      </c>
      <c r="C23" s="99"/>
      <c r="D23" s="469"/>
      <c r="E23" s="469">
        <f>E22</f>
        <v>1844.5409275305185</v>
      </c>
      <c r="F23" s="469">
        <f t="shared" ref="F23:I23" si="3">F22</f>
        <v>2788.9458824261437</v>
      </c>
      <c r="G23" s="469">
        <f t="shared" si="3"/>
        <v>3748.3432659807386</v>
      </c>
      <c r="H23" s="469">
        <f t="shared" si="3"/>
        <v>3778.330012108584</v>
      </c>
      <c r="I23" s="469">
        <f t="shared" si="3"/>
        <v>3808.5566522054528</v>
      </c>
      <c r="N23" s="65"/>
      <c r="O23" s="65"/>
      <c r="P23" s="65"/>
      <c r="Q23" s="65"/>
      <c r="R23" s="65"/>
      <c r="S23" s="65"/>
      <c r="T23" s="65"/>
      <c r="V23" s="145"/>
      <c r="W23" s="145"/>
      <c r="X23" s="145"/>
      <c r="Y23" s="145"/>
      <c r="Z23" s="145"/>
      <c r="AA23" s="145"/>
      <c r="AC23" s="145"/>
      <c r="AD23" s="145"/>
      <c r="AE23" s="145"/>
      <c r="AF23" s="145"/>
      <c r="AG23" s="145"/>
      <c r="AH23" s="145"/>
    </row>
    <row r="24" spans="2:34" s="130" customFormat="1" x14ac:dyDescent="0.25">
      <c r="B24" s="150"/>
      <c r="C24" s="65"/>
      <c r="D24" s="65"/>
      <c r="E24" s="65"/>
      <c r="F24" s="65"/>
      <c r="G24" s="65"/>
      <c r="H24" s="65"/>
      <c r="I24" s="65"/>
      <c r="N24" s="65"/>
      <c r="O24" s="65"/>
      <c r="P24" s="65"/>
      <c r="Q24" s="65"/>
      <c r="R24" s="65"/>
      <c r="S24" s="65"/>
      <c r="T24" s="65"/>
      <c r="AD24" s="145"/>
      <c r="AE24" s="145"/>
      <c r="AF24" s="145"/>
      <c r="AG24" s="145"/>
      <c r="AH24" s="145"/>
    </row>
    <row r="25" spans="2:34" s="130" customFormat="1" x14ac:dyDescent="0.25">
      <c r="B25" s="667" t="s">
        <v>826</v>
      </c>
      <c r="C25" s="668" t="s">
        <v>637</v>
      </c>
      <c r="D25" s="669" t="s">
        <v>622</v>
      </c>
      <c r="E25" s="669" t="s">
        <v>622</v>
      </c>
      <c r="F25" s="669" t="s">
        <v>622</v>
      </c>
      <c r="G25" s="669" t="s">
        <v>622</v>
      </c>
      <c r="H25" s="669" t="s">
        <v>622</v>
      </c>
      <c r="I25" s="669" t="s">
        <v>622</v>
      </c>
      <c r="N25" s="65"/>
      <c r="O25" s="65"/>
      <c r="P25" s="65"/>
      <c r="Q25" s="65"/>
      <c r="R25" s="65"/>
      <c r="S25" s="65"/>
      <c r="T25" s="65"/>
      <c r="AD25" s="145"/>
      <c r="AE25" s="145"/>
      <c r="AF25" s="145"/>
      <c r="AG25" s="145"/>
      <c r="AH25" s="145"/>
    </row>
    <row r="26" spans="2:34" s="130" customFormat="1" x14ac:dyDescent="0.25">
      <c r="B26" s="427" t="s">
        <v>534</v>
      </c>
      <c r="C26" s="670">
        <f>'Unit costs'!C10</f>
        <v>6.37</v>
      </c>
      <c r="D26" s="670">
        <f t="shared" ref="D26:I27" si="4">D17*$C26/1000</f>
        <v>250.90607664190054</v>
      </c>
      <c r="E26" s="670">
        <f t="shared" si="4"/>
        <v>265.53064755830616</v>
      </c>
      <c r="F26" s="670">
        <f t="shared" si="4"/>
        <v>280.37315362046922</v>
      </c>
      <c r="G26" s="670">
        <f t="shared" si="4"/>
        <v>295.43614581818304</v>
      </c>
      <c r="H26" s="670">
        <f t="shared" si="4"/>
        <v>310.72220200922862</v>
      </c>
      <c r="I26" s="670">
        <f t="shared" si="4"/>
        <v>326.23392718599865</v>
      </c>
      <c r="K26" s="182"/>
      <c r="L26" s="182"/>
      <c r="M26" s="182"/>
      <c r="N26" s="65"/>
      <c r="O26" s="65"/>
      <c r="P26" s="65"/>
      <c r="Q26" s="65"/>
      <c r="R26" s="65"/>
      <c r="S26" s="65"/>
      <c r="T26" s="65"/>
      <c r="AD26" s="145"/>
      <c r="AE26" s="145"/>
      <c r="AF26" s="145"/>
      <c r="AG26" s="145"/>
      <c r="AH26" s="145"/>
    </row>
    <row r="27" spans="2:34" s="130" customFormat="1" x14ac:dyDescent="0.25">
      <c r="B27" s="427" t="s">
        <v>484</v>
      </c>
      <c r="C27" s="670">
        <f>'Unit costs'!C8</f>
        <v>1.8</v>
      </c>
      <c r="D27" s="670">
        <f t="shared" si="4"/>
        <v>346.99434484902315</v>
      </c>
      <c r="E27" s="670">
        <f t="shared" si="4"/>
        <v>347.98763240641142</v>
      </c>
      <c r="F27" s="670">
        <f t="shared" si="4"/>
        <v>348.97460492664749</v>
      </c>
      <c r="G27" s="670">
        <f t="shared" si="4"/>
        <v>349.95509779873333</v>
      </c>
      <c r="H27" s="670">
        <f t="shared" si="4"/>
        <v>350.92894418205736</v>
      </c>
      <c r="I27" s="670">
        <f t="shared" si="4"/>
        <v>351.89597498125522</v>
      </c>
      <c r="N27" s="65"/>
      <c r="O27" s="65"/>
      <c r="P27" s="65"/>
      <c r="Q27" s="65"/>
      <c r="R27" s="65"/>
      <c r="S27" s="65"/>
      <c r="T27" s="65"/>
      <c r="AD27" s="145"/>
      <c r="AE27" s="145"/>
      <c r="AF27" s="145"/>
      <c r="AG27" s="145"/>
      <c r="AH27" s="145"/>
    </row>
    <row r="28" spans="2:34" s="130" customFormat="1" x14ac:dyDescent="0.25">
      <c r="B28" s="628" t="s">
        <v>496</v>
      </c>
      <c r="C28" s="670">
        <f>'Unit costs'!C9</f>
        <v>7.47</v>
      </c>
      <c r="D28" s="670">
        <f t="shared" ref="D28:I28" si="5">(D19+D22)*$C28/1000</f>
        <v>1441.1352685718493</v>
      </c>
      <c r="E28" s="670">
        <f t="shared" si="5"/>
        <v>1459.045002563251</v>
      </c>
      <c r="F28" s="670">
        <f t="shared" si="5"/>
        <v>1470.204584394085</v>
      </c>
      <c r="G28" s="670">
        <f t="shared" si="5"/>
        <v>1481.4493406540485</v>
      </c>
      <c r="H28" s="670">
        <f t="shared" si="5"/>
        <v>1485.7238886231573</v>
      </c>
      <c r="I28" s="670">
        <f t="shared" si="5"/>
        <v>1489.9720166019695</v>
      </c>
      <c r="N28" s="65"/>
      <c r="P28" s="65"/>
      <c r="Q28" s="65"/>
      <c r="R28" s="65"/>
      <c r="S28" s="65"/>
      <c r="T28" s="65"/>
      <c r="AD28" s="145"/>
      <c r="AE28" s="145"/>
      <c r="AF28" s="145"/>
      <c r="AG28" s="145"/>
      <c r="AH28" s="145"/>
    </row>
    <row r="29" spans="2:34" s="130" customFormat="1" x14ac:dyDescent="0.25">
      <c r="B29" s="178" t="s">
        <v>892</v>
      </c>
      <c r="C29" s="670">
        <f>'Unit costs'!C16+'Unit costs'!C15</f>
        <v>25.597000000000001</v>
      </c>
      <c r="D29" s="670">
        <f>(D22*$C$29)/1000</f>
        <v>0</v>
      </c>
      <c r="E29" s="670">
        <f t="shared" ref="E29:I29" si="6">(E22*$C$29)/1000</f>
        <v>47.214714121998689</v>
      </c>
      <c r="F29" s="670">
        <f t="shared" si="6"/>
        <v>71.388647752461992</v>
      </c>
      <c r="G29" s="670">
        <f t="shared" si="6"/>
        <v>95.946342579308975</v>
      </c>
      <c r="H29" s="670">
        <f t="shared" si="6"/>
        <v>96.71391331994343</v>
      </c>
      <c r="I29" s="670">
        <f t="shared" si="6"/>
        <v>97.487624626502978</v>
      </c>
      <c r="N29" s="65"/>
      <c r="O29" s="65"/>
      <c r="P29" s="65"/>
      <c r="Q29" s="65"/>
      <c r="R29" s="65"/>
      <c r="S29" s="65"/>
      <c r="T29" s="65"/>
      <c r="X29" s="65"/>
      <c r="AD29" s="145"/>
      <c r="AE29" s="145"/>
      <c r="AF29" s="145"/>
      <c r="AG29" s="145"/>
      <c r="AH29" s="145"/>
    </row>
    <row r="30" spans="2:34" s="130" customFormat="1" ht="45" customHeight="1" x14ac:dyDescent="0.25">
      <c r="B30" s="149" t="s">
        <v>739</v>
      </c>
      <c r="C30" s="671"/>
      <c r="D30" s="466">
        <f t="shared" ref="D30:I30" si="7">SUM(D26:D28)</f>
        <v>2039.035690062773</v>
      </c>
      <c r="E30" s="466">
        <f t="shared" si="7"/>
        <v>2072.5632825279686</v>
      </c>
      <c r="F30" s="466">
        <f t="shared" si="7"/>
        <v>2099.5523429412015</v>
      </c>
      <c r="G30" s="466">
        <f t="shared" si="7"/>
        <v>2126.8405842709649</v>
      </c>
      <c r="H30" s="100">
        <f t="shared" si="7"/>
        <v>2147.3750348144431</v>
      </c>
      <c r="I30" s="466">
        <f t="shared" si="7"/>
        <v>2168.1019187692236</v>
      </c>
      <c r="J30" s="182"/>
      <c r="N30" s="65"/>
      <c r="O30" s="65"/>
      <c r="P30" s="65"/>
      <c r="Q30" s="65"/>
      <c r="R30" s="65"/>
      <c r="S30" s="65"/>
      <c r="T30" s="65"/>
      <c r="AD30" s="145"/>
      <c r="AE30" s="145"/>
      <c r="AF30" s="145"/>
      <c r="AG30" s="145"/>
      <c r="AH30" s="145"/>
    </row>
    <row r="31" spans="2:34" s="130" customFormat="1" x14ac:dyDescent="0.25">
      <c r="B31" s="789"/>
      <c r="C31" s="73"/>
      <c r="D31" s="790"/>
      <c r="E31" s="790"/>
      <c r="F31" s="790"/>
      <c r="G31" s="790"/>
      <c r="H31" s="790"/>
      <c r="I31" s="790"/>
      <c r="J31" s="182"/>
      <c r="O31" s="65"/>
      <c r="P31" s="65"/>
      <c r="Q31" s="65"/>
      <c r="R31" s="65"/>
      <c r="S31" s="65"/>
      <c r="T31" s="65"/>
      <c r="AD31" s="145"/>
      <c r="AE31" s="145"/>
      <c r="AF31" s="145"/>
      <c r="AG31" s="145"/>
      <c r="AH31" s="145"/>
    </row>
    <row r="32" spans="2:34" s="130" customFormat="1" x14ac:dyDescent="0.25">
      <c r="B32" s="667" t="s">
        <v>819</v>
      </c>
      <c r="C32" s="212"/>
      <c r="D32" s="669" t="s">
        <v>622</v>
      </c>
      <c r="E32" s="669" t="s">
        <v>622</v>
      </c>
      <c r="F32" s="669" t="s">
        <v>622</v>
      </c>
      <c r="G32" s="669" t="s">
        <v>622</v>
      </c>
      <c r="H32" s="669" t="s">
        <v>622</v>
      </c>
      <c r="I32" s="669" t="s">
        <v>622</v>
      </c>
      <c r="J32" s="182"/>
      <c r="N32" s="65"/>
      <c r="O32" s="65"/>
      <c r="P32" s="65"/>
      <c r="Q32" s="65"/>
      <c r="R32" s="65"/>
      <c r="S32" s="65"/>
      <c r="T32" s="65"/>
      <c r="AD32" s="145"/>
      <c r="AE32" s="145"/>
      <c r="AF32" s="145"/>
      <c r="AG32" s="145"/>
      <c r="AH32" s="145"/>
    </row>
    <row r="33" spans="2:34" s="130" customFormat="1" x14ac:dyDescent="0.25">
      <c r="B33" s="427" t="s">
        <v>866</v>
      </c>
      <c r="C33" s="608">
        <f>('Unit costs'!$H$87*(1+'Unit costs'!$I$87))</f>
        <v>1500</v>
      </c>
      <c r="D33" s="690">
        <f>('Unit costs'!K69*'Financial impact (cash)'!$C33)/1000</f>
        <v>49.56695782716308</v>
      </c>
      <c r="E33" s="690">
        <f>('Unit costs'!L69*'Financial impact (cash)'!$C33)/1000</f>
        <v>49.96349348978039</v>
      </c>
      <c r="F33" s="690">
        <f>('Unit costs'!M69*'Financial impact (cash)'!$C33)/1000</f>
        <v>50.363201437698649</v>
      </c>
      <c r="G33" s="690">
        <f>('Unit costs'!N69*'Financial impact (cash)'!$C33)/1000</f>
        <v>50.766107049200222</v>
      </c>
      <c r="H33" s="907">
        <f>('Unit costs'!O69*'Financial impact (cash)'!$C33)/1000</f>
        <v>51.17223590559383</v>
      </c>
      <c r="I33" s="909">
        <f>('Unit costs'!P69*$C$33)/1000</f>
        <v>51.581613792838588</v>
      </c>
      <c r="J33" s="908"/>
      <c r="K33" s="908"/>
      <c r="L33" s="908"/>
      <c r="M33" s="908"/>
      <c r="N33" s="908"/>
      <c r="O33" s="908"/>
      <c r="P33" s="908"/>
      <c r="Q33" s="908"/>
      <c r="R33" s="908"/>
      <c r="S33" s="908"/>
      <c r="T33" s="908"/>
      <c r="U33" s="908"/>
      <c r="V33" s="908"/>
      <c r="W33" s="908"/>
      <c r="X33" s="908"/>
      <c r="AD33" s="145"/>
      <c r="AE33" s="145"/>
      <c r="AF33" s="145"/>
      <c r="AG33" s="145"/>
      <c r="AH33" s="145"/>
    </row>
    <row r="34" spans="2:34" s="130" customFormat="1" x14ac:dyDescent="0.25">
      <c r="B34" s="427" t="s">
        <v>820</v>
      </c>
      <c r="C34" s="608">
        <f>('Unit costs'!$H$88*(1+'Unit costs'!$I$88))</f>
        <v>1408.9560000000001</v>
      </c>
      <c r="D34" s="690">
        <f>('Unit costs'!K71*'Financial impact (cash)'!$C34)/1000</f>
        <v>2.9506650322998014</v>
      </c>
      <c r="E34" s="690">
        <f>('Unit costs'!L71*'Financial impact (cash)'!$C34)/1000</f>
        <v>2.9742703525581997</v>
      </c>
      <c r="F34" s="690">
        <f>('Unit costs'!M71*'Financial impact (cash)'!$C34)/1000</f>
        <v>2.998064515378664</v>
      </c>
      <c r="G34" s="690">
        <f>('Unit costs'!N71*'Financial impact (cash)'!$C34)/1000</f>
        <v>3.0220490315016941</v>
      </c>
      <c r="H34" s="690">
        <f>('Unit costs'!O71*'Financial impact (cash)'!$C34)/1000</f>
        <v>3.0462254237537083</v>
      </c>
      <c r="I34" s="690">
        <f>('Unit costs'!P71*'Financial impact (cash)'!$C34)/1000</f>
        <v>3.0705952271437384</v>
      </c>
      <c r="J34" s="182"/>
      <c r="N34" s="65"/>
      <c r="O34" s="65"/>
      <c r="P34" s="65"/>
      <c r="Q34" s="65"/>
      <c r="R34" s="65"/>
      <c r="S34" s="65"/>
      <c r="T34" s="65"/>
      <c r="AD34" s="145"/>
      <c r="AE34" s="145"/>
      <c r="AF34" s="145"/>
      <c r="AG34" s="145"/>
      <c r="AH34" s="145"/>
    </row>
    <row r="35" spans="2:34" s="130" customFormat="1" x14ac:dyDescent="0.25">
      <c r="B35" s="108" t="s">
        <v>537</v>
      </c>
      <c r="C35" s="615">
        <f>'Unit costs'!H89*(100%+'Unit costs'!I89)</f>
        <v>0</v>
      </c>
      <c r="D35" s="969"/>
      <c r="E35" s="970"/>
      <c r="F35" s="970"/>
      <c r="G35" s="970"/>
      <c r="H35" s="970"/>
      <c r="I35" s="971"/>
      <c r="J35" s="182"/>
      <c r="N35" s="65"/>
      <c r="O35" s="65"/>
      <c r="P35" s="65"/>
      <c r="Q35" s="65"/>
      <c r="R35" s="65"/>
      <c r="S35" s="65"/>
      <c r="T35" s="65"/>
      <c r="AD35" s="145"/>
      <c r="AE35" s="145"/>
      <c r="AF35" s="145"/>
      <c r="AG35" s="145"/>
      <c r="AH35" s="145"/>
    </row>
    <row r="36" spans="2:34" s="130" customFormat="1" x14ac:dyDescent="0.25">
      <c r="B36" s="108" t="s">
        <v>822</v>
      </c>
      <c r="C36" s="615">
        <f>'Unit costs'!H90*(100%+'Unit costs'!I90)</f>
        <v>0</v>
      </c>
      <c r="D36" s="969"/>
      <c r="E36" s="970"/>
      <c r="F36" s="970"/>
      <c r="G36" s="970"/>
      <c r="H36" s="970"/>
      <c r="I36" s="971"/>
      <c r="J36" s="182"/>
      <c r="N36" s="65"/>
      <c r="O36" s="65"/>
      <c r="P36" s="65"/>
      <c r="Q36" s="65"/>
      <c r="R36" s="65"/>
      <c r="S36" s="65"/>
      <c r="T36" s="65"/>
      <c r="AD36" s="145"/>
      <c r="AE36" s="145"/>
      <c r="AF36" s="145"/>
      <c r="AG36" s="145"/>
      <c r="AH36" s="145"/>
    </row>
    <row r="37" spans="2:34" s="130" customFormat="1" x14ac:dyDescent="0.25">
      <c r="B37" s="108" t="s">
        <v>854</v>
      </c>
      <c r="C37" s="615">
        <f>'Unit costs'!H91*(100%+'Unit costs'!I91)</f>
        <v>0</v>
      </c>
      <c r="D37" s="969"/>
      <c r="E37" s="970"/>
      <c r="F37" s="970"/>
      <c r="G37" s="970"/>
      <c r="H37" s="970"/>
      <c r="I37" s="971"/>
      <c r="J37" s="182"/>
      <c r="N37" s="65"/>
      <c r="O37" s="65"/>
      <c r="P37" s="65"/>
      <c r="Q37" s="65"/>
      <c r="R37" s="65"/>
      <c r="S37" s="65"/>
      <c r="T37" s="65"/>
      <c r="AD37" s="145"/>
      <c r="AE37" s="145"/>
      <c r="AF37" s="145"/>
      <c r="AG37" s="145"/>
      <c r="AH37" s="145"/>
    </row>
    <row r="38" spans="2:34" s="130" customFormat="1" x14ac:dyDescent="0.25">
      <c r="B38" s="108" t="s">
        <v>821</v>
      </c>
      <c r="C38" s="615">
        <f>'Unit costs'!H92*(100%+'Unit costs'!I92)</f>
        <v>0</v>
      </c>
      <c r="D38" s="969"/>
      <c r="E38" s="970"/>
      <c r="F38" s="970"/>
      <c r="G38" s="970"/>
      <c r="H38" s="970"/>
      <c r="I38" s="971"/>
      <c r="J38" s="182"/>
      <c r="N38" s="65"/>
      <c r="O38" s="65"/>
      <c r="P38" s="65"/>
      <c r="Q38" s="65"/>
      <c r="R38" s="65"/>
      <c r="S38" s="65"/>
      <c r="T38" s="65"/>
      <c r="AD38" s="145"/>
      <c r="AE38" s="145"/>
      <c r="AF38" s="145"/>
      <c r="AG38" s="145"/>
      <c r="AH38" s="145"/>
    </row>
    <row r="39" spans="2:34" s="130" customFormat="1" x14ac:dyDescent="0.25">
      <c r="B39" s="149" t="s">
        <v>823</v>
      </c>
      <c r="C39" s="685"/>
      <c r="D39" s="790">
        <f>SUM(D33:D38)</f>
        <v>52.517622859462882</v>
      </c>
      <c r="E39" s="686">
        <f t="shared" ref="E39:I39" si="8">SUM(E33:E38)</f>
        <v>52.93776384233859</v>
      </c>
      <c r="F39" s="686">
        <f t="shared" si="8"/>
        <v>53.361265953077314</v>
      </c>
      <c r="G39" s="686">
        <f t="shared" si="8"/>
        <v>53.788156080701917</v>
      </c>
      <c r="H39" s="686">
        <f t="shared" si="8"/>
        <v>54.218461329347541</v>
      </c>
      <c r="I39" s="686">
        <f t="shared" si="8"/>
        <v>54.65220901998233</v>
      </c>
      <c r="J39" s="182"/>
      <c r="N39" s="65"/>
      <c r="O39" s="65"/>
      <c r="P39" s="65"/>
      <c r="Q39" s="65"/>
      <c r="R39" s="65"/>
      <c r="S39" s="65"/>
      <c r="T39" s="65"/>
      <c r="AD39" s="145"/>
      <c r="AE39" s="145"/>
      <c r="AF39" s="145"/>
      <c r="AG39" s="145"/>
      <c r="AH39" s="145"/>
    </row>
    <row r="40" spans="2:34" s="130" customFormat="1" x14ac:dyDescent="0.25">
      <c r="B40" s="193"/>
      <c r="C40" s="147"/>
      <c r="D40" s="741" t="s">
        <v>624</v>
      </c>
      <c r="E40" s="654">
        <f>E39-$D$39</f>
        <v>0.42014098287570789</v>
      </c>
      <c r="F40" s="654">
        <f t="shared" ref="F40:I40" si="9">F39-$D$39</f>
        <v>0.8436430936144319</v>
      </c>
      <c r="G40" s="654">
        <f t="shared" si="9"/>
        <v>1.2705332212390346</v>
      </c>
      <c r="H40" s="654">
        <f t="shared" si="9"/>
        <v>1.7008384698846584</v>
      </c>
      <c r="I40" s="654">
        <f t="shared" si="9"/>
        <v>2.1345861605194472</v>
      </c>
      <c r="J40" s="790"/>
      <c r="K40" s="182"/>
      <c r="N40" s="65"/>
      <c r="O40" s="65"/>
      <c r="P40" s="65"/>
      <c r="Q40" s="65"/>
      <c r="R40" s="65"/>
      <c r="S40" s="65"/>
      <c r="T40" s="65"/>
      <c r="AD40" s="145"/>
      <c r="AE40" s="145"/>
      <c r="AF40" s="145"/>
      <c r="AG40" s="145"/>
      <c r="AH40" s="145"/>
    </row>
    <row r="41" spans="2:34" s="130" customFormat="1" x14ac:dyDescent="0.25">
      <c r="B41" s="193"/>
      <c r="C41" s="147"/>
      <c r="D41" s="742" t="s">
        <v>824</v>
      </c>
      <c r="E41" s="654">
        <f>E39-D39</f>
        <v>0.42014098287570789</v>
      </c>
      <c r="F41" s="654">
        <f>F39-E39</f>
        <v>0.42350211073872401</v>
      </c>
      <c r="G41" s="654">
        <f>G39-F39</f>
        <v>0.42689012762460266</v>
      </c>
      <c r="H41" s="654">
        <f>H39-G39</f>
        <v>0.43030524864562381</v>
      </c>
      <c r="I41" s="654">
        <f>I39-H39</f>
        <v>0.4337476906347888</v>
      </c>
      <c r="J41" s="790"/>
      <c r="K41" s="182"/>
      <c r="N41" s="65"/>
      <c r="O41" s="65"/>
      <c r="P41" s="65"/>
      <c r="Q41" s="65"/>
      <c r="R41" s="65"/>
      <c r="S41" s="65"/>
      <c r="T41" s="65"/>
      <c r="AD41" s="145"/>
      <c r="AE41" s="145"/>
      <c r="AF41" s="145"/>
      <c r="AG41" s="145"/>
      <c r="AH41" s="145"/>
    </row>
    <row r="42" spans="2:34" s="130" customFormat="1" x14ac:dyDescent="0.25">
      <c r="B42" s="789"/>
      <c r="C42" s="152"/>
      <c r="D42" s="790"/>
      <c r="E42" s="790"/>
      <c r="F42" s="790"/>
      <c r="G42" s="790"/>
      <c r="H42" s="790"/>
      <c r="I42" s="790"/>
      <c r="J42" s="182"/>
      <c r="N42" s="65"/>
      <c r="O42" s="65"/>
      <c r="P42" s="65"/>
      <c r="Q42" s="65"/>
      <c r="R42" s="65"/>
      <c r="S42" s="65"/>
      <c r="T42" s="65"/>
      <c r="AD42" s="145"/>
      <c r="AE42" s="145"/>
      <c r="AF42" s="145"/>
      <c r="AG42" s="145"/>
      <c r="AH42" s="145"/>
    </row>
    <row r="43" spans="2:34" s="130" customFormat="1" x14ac:dyDescent="0.25">
      <c r="B43" s="667" t="s">
        <v>825</v>
      </c>
      <c r="C43" s="212"/>
      <c r="D43" s="669" t="s">
        <v>622</v>
      </c>
      <c r="E43" s="669" t="s">
        <v>622</v>
      </c>
      <c r="F43" s="669" t="s">
        <v>622</v>
      </c>
      <c r="G43" s="669" t="s">
        <v>622</v>
      </c>
      <c r="H43" s="669" t="s">
        <v>622</v>
      </c>
      <c r="I43" s="669" t="s">
        <v>622</v>
      </c>
      <c r="J43" s="182"/>
      <c r="N43" s="65"/>
      <c r="O43" s="65"/>
      <c r="P43" s="65"/>
      <c r="Q43" s="65"/>
      <c r="R43" s="65"/>
      <c r="S43" s="65"/>
      <c r="T43" s="65"/>
      <c r="AD43" s="145"/>
      <c r="AE43" s="145"/>
      <c r="AF43" s="145"/>
      <c r="AG43" s="145"/>
      <c r="AH43" s="145"/>
    </row>
    <row r="44" spans="2:34" s="130" customFormat="1" x14ac:dyDescent="0.25">
      <c r="B44" s="427" t="s">
        <v>866</v>
      </c>
      <c r="C44" s="608">
        <f>('Unit costs'!$H$87*(1+'Unit costs'!$I$87))</f>
        <v>1500</v>
      </c>
      <c r="D44" s="690">
        <f>('Unit costs'!K75*'Financial impact (cash)'!$C44)/1000</f>
        <v>147.37658741765685</v>
      </c>
      <c r="E44" s="690">
        <f>('Unit costs'!L75*'Financial impact (cash)'!$C44)/1000</f>
        <v>158.45930679146468</v>
      </c>
      <c r="F44" s="690">
        <f>('Unit costs'!M75*'Financial impact (cash)'!$C44)/1000</f>
        <v>169.70991757365869</v>
      </c>
      <c r="G44" s="690">
        <f>('Unit costs'!N75*'Financial impact (cash)'!$C44)/1000</f>
        <v>181.13039673273309</v>
      </c>
      <c r="H44" s="690">
        <f>('Unit costs'!O75*'Financial impact (cash)'!$C44)/1000</f>
        <v>192.722742123628</v>
      </c>
      <c r="I44" s="690">
        <f>('Unit costs'!P75*'Financial impact (cash)'!$C44)/1000</f>
        <v>204.48897269538639</v>
      </c>
      <c r="J44" s="182"/>
      <c r="N44" s="65"/>
      <c r="O44" s="65"/>
      <c r="P44" s="65"/>
      <c r="Q44" s="65"/>
      <c r="R44" s="65"/>
      <c r="S44" s="65"/>
      <c r="T44" s="65"/>
      <c r="AD44" s="145"/>
      <c r="AE44" s="145"/>
      <c r="AF44" s="145"/>
      <c r="AG44" s="145"/>
      <c r="AH44" s="145"/>
    </row>
    <row r="45" spans="2:34" s="130" customFormat="1" x14ac:dyDescent="0.25">
      <c r="B45" s="427" t="s">
        <v>820</v>
      </c>
      <c r="C45" s="608">
        <f>('Unit costs'!$H$88*(1+'Unit costs'!$I$88))</f>
        <v>1408.9560000000001</v>
      </c>
      <c r="D45" s="690">
        <f>('Unit costs'!K77*'Financial impact (cash)'!$C45)/1000</f>
        <v>39.748036236077439</v>
      </c>
      <c r="E45" s="690">
        <f>('Unit costs'!L77*'Financial impact (cash)'!$C45)/1000</f>
        <v>39.849447442041914</v>
      </c>
      <c r="F45" s="690">
        <f>('Unit costs'!M77*'Financial impact (cash)'!$C45)/1000</f>
        <v>39.949937352982708</v>
      </c>
      <c r="G45" s="690">
        <f>('Unit costs'!N77*'Financial impact (cash)'!$C45)/1000</f>
        <v>40.049484737862279</v>
      </c>
      <c r="H45" s="690">
        <f>('Unit costs'!O77*'Financial impact (cash)'!$C45)/1000</f>
        <v>40.148068084909326</v>
      </c>
      <c r="I45" s="690">
        <f>('Unit costs'!P77*'Financial impact (cash)'!$C45)/1000</f>
        <v>40.2456655984859</v>
      </c>
      <c r="J45" s="182"/>
      <c r="N45" s="65"/>
      <c r="O45" s="65"/>
      <c r="P45" s="65"/>
      <c r="Q45" s="65"/>
      <c r="R45" s="65"/>
      <c r="S45" s="65"/>
      <c r="T45" s="65"/>
      <c r="AD45" s="145"/>
      <c r="AE45" s="145"/>
      <c r="AF45" s="145"/>
      <c r="AG45" s="145"/>
      <c r="AH45" s="145"/>
    </row>
    <row r="46" spans="2:34" s="130" customFormat="1" x14ac:dyDescent="0.25">
      <c r="B46" s="108" t="s">
        <v>537</v>
      </c>
      <c r="C46" s="615">
        <f>'Unit costs'!H89*(100%+'Unit costs'!I89)</f>
        <v>0</v>
      </c>
      <c r="D46" s="969"/>
      <c r="E46" s="970"/>
      <c r="F46" s="970"/>
      <c r="G46" s="970"/>
      <c r="H46" s="970"/>
      <c r="I46" s="971"/>
      <c r="J46" s="182"/>
      <c r="N46" s="65"/>
      <c r="O46" s="65"/>
      <c r="P46" s="65"/>
      <c r="Q46" s="65"/>
      <c r="R46" s="65"/>
      <c r="S46" s="65"/>
      <c r="T46" s="65"/>
      <c r="AD46" s="145"/>
      <c r="AE46" s="145"/>
      <c r="AF46" s="145"/>
      <c r="AG46" s="145"/>
      <c r="AH46" s="145"/>
    </row>
    <row r="47" spans="2:34" s="130" customFormat="1" x14ac:dyDescent="0.25">
      <c r="B47" s="108" t="s">
        <v>822</v>
      </c>
      <c r="C47" s="615">
        <f>'Unit costs'!H90*(100%+'Unit costs'!I90)</f>
        <v>0</v>
      </c>
      <c r="D47" s="969"/>
      <c r="E47" s="970"/>
      <c r="F47" s="970"/>
      <c r="G47" s="970"/>
      <c r="H47" s="970"/>
      <c r="I47" s="971"/>
      <c r="J47" s="182"/>
      <c r="N47" s="65"/>
      <c r="O47" s="65"/>
      <c r="P47" s="65"/>
      <c r="Q47" s="65"/>
      <c r="R47" s="65"/>
      <c r="S47" s="65"/>
      <c r="T47" s="65"/>
      <c r="AD47" s="145"/>
      <c r="AE47" s="145"/>
      <c r="AF47" s="145"/>
      <c r="AG47" s="145"/>
      <c r="AH47" s="145"/>
    </row>
    <row r="48" spans="2:34" s="130" customFormat="1" x14ac:dyDescent="0.25">
      <c r="B48" s="108" t="s">
        <v>854</v>
      </c>
      <c r="C48" s="615">
        <f>'Unit costs'!H91*(100%+'Unit costs'!I91)</f>
        <v>0</v>
      </c>
      <c r="D48" s="969"/>
      <c r="E48" s="970"/>
      <c r="F48" s="970"/>
      <c r="G48" s="970"/>
      <c r="H48" s="970"/>
      <c r="I48" s="971"/>
      <c r="J48" s="182"/>
      <c r="N48" s="65"/>
      <c r="O48" s="65"/>
      <c r="P48" s="65"/>
      <c r="Q48" s="65"/>
      <c r="R48" s="65"/>
      <c r="S48" s="65"/>
      <c r="T48" s="65"/>
      <c r="AD48" s="145"/>
      <c r="AE48" s="145"/>
      <c r="AF48" s="145"/>
      <c r="AG48" s="145"/>
      <c r="AH48" s="145"/>
    </row>
    <row r="49" spans="2:34" s="130" customFormat="1" x14ac:dyDescent="0.25">
      <c r="B49" s="108" t="s">
        <v>821</v>
      </c>
      <c r="C49" s="615">
        <f>'Unit costs'!H92*(100%+'Unit costs'!I92)</f>
        <v>0</v>
      </c>
      <c r="D49" s="969"/>
      <c r="E49" s="970"/>
      <c r="F49" s="970"/>
      <c r="G49" s="970"/>
      <c r="H49" s="970"/>
      <c r="I49" s="971"/>
      <c r="J49" s="182"/>
      <c r="N49" s="65"/>
      <c r="O49" s="65"/>
      <c r="P49" s="65"/>
      <c r="Q49" s="65"/>
      <c r="R49" s="65"/>
      <c r="S49" s="65"/>
      <c r="T49" s="65"/>
      <c r="AD49" s="145"/>
      <c r="AE49" s="145"/>
      <c r="AF49" s="145"/>
      <c r="AG49" s="145"/>
      <c r="AH49" s="145"/>
    </row>
    <row r="50" spans="2:34" s="130" customFormat="1" x14ac:dyDescent="0.25">
      <c r="B50" s="149" t="s">
        <v>835</v>
      </c>
      <c r="C50" s="751"/>
      <c r="D50" s="790">
        <f>SUM(D44:D49)</f>
        <v>187.12462365373429</v>
      </c>
      <c r="E50" s="686">
        <f t="shared" ref="E50" si="10">SUM(E44:E49)</f>
        <v>198.30875423350659</v>
      </c>
      <c r="F50" s="686">
        <f t="shared" ref="F50" si="11">SUM(F44:F49)</f>
        <v>209.6598549266414</v>
      </c>
      <c r="G50" s="686">
        <f t="shared" ref="G50" si="12">SUM(G44:G49)</f>
        <v>221.17988147059538</v>
      </c>
      <c r="H50" s="686">
        <f t="shared" ref="H50" si="13">SUM(H44:H49)</f>
        <v>232.87081020853731</v>
      </c>
      <c r="I50" s="686">
        <f t="shared" ref="I50" si="14">SUM(I44:I49)</f>
        <v>244.73463829387231</v>
      </c>
      <c r="J50" s="182"/>
      <c r="N50" s="65"/>
      <c r="O50" s="65"/>
      <c r="P50" s="65"/>
      <c r="Q50" s="65"/>
      <c r="R50" s="65"/>
      <c r="S50" s="65"/>
      <c r="T50" s="65"/>
      <c r="AD50" s="145"/>
      <c r="AE50" s="145"/>
      <c r="AF50" s="145"/>
      <c r="AG50" s="145"/>
      <c r="AH50" s="145"/>
    </row>
    <row r="51" spans="2:34" s="130" customFormat="1" x14ac:dyDescent="0.25">
      <c r="B51" s="193"/>
      <c r="C51" s="147"/>
      <c r="D51" s="741" t="s">
        <v>624</v>
      </c>
      <c r="E51" s="654">
        <f>E50-$D$50</f>
        <v>11.184130579772301</v>
      </c>
      <c r="F51" s="654">
        <f t="shared" ref="F51:I51" si="15">F50-$D$50</f>
        <v>22.535231272907112</v>
      </c>
      <c r="G51" s="654">
        <f t="shared" si="15"/>
        <v>34.055257816861086</v>
      </c>
      <c r="H51" s="654">
        <f t="shared" si="15"/>
        <v>45.746186554803018</v>
      </c>
      <c r="I51" s="654">
        <f t="shared" si="15"/>
        <v>57.610014640138019</v>
      </c>
      <c r="J51" s="182"/>
      <c r="N51" s="65"/>
      <c r="O51" s="65"/>
      <c r="P51" s="65"/>
      <c r="Q51" s="65"/>
      <c r="R51" s="65"/>
      <c r="S51" s="65"/>
      <c r="T51" s="65"/>
      <c r="AD51" s="145"/>
      <c r="AE51" s="145"/>
      <c r="AF51" s="145"/>
      <c r="AG51" s="145"/>
      <c r="AH51" s="145"/>
    </row>
    <row r="52" spans="2:34" s="130" customFormat="1" x14ac:dyDescent="0.25">
      <c r="B52" s="193"/>
      <c r="C52" s="147"/>
      <c r="D52" s="742" t="s">
        <v>824</v>
      </c>
      <c r="E52" s="654">
        <f>E50-D50</f>
        <v>11.184130579772301</v>
      </c>
      <c r="F52" s="654">
        <f>F50-E50</f>
        <v>11.351100693134811</v>
      </c>
      <c r="G52" s="654">
        <f>G50-F50</f>
        <v>11.520026543953975</v>
      </c>
      <c r="H52" s="654">
        <f>H50-G50</f>
        <v>11.690928737941931</v>
      </c>
      <c r="I52" s="654">
        <f>I50-H50</f>
        <v>11.863828085335001</v>
      </c>
      <c r="J52" s="182"/>
      <c r="N52" s="65"/>
      <c r="O52" s="65"/>
      <c r="P52" s="65"/>
      <c r="Q52" s="65"/>
      <c r="R52" s="65"/>
      <c r="S52" s="65"/>
      <c r="T52" s="65"/>
      <c r="AD52" s="145"/>
      <c r="AE52" s="145"/>
      <c r="AF52" s="145"/>
      <c r="AG52" s="145"/>
      <c r="AH52" s="145"/>
    </row>
    <row r="53" spans="2:34" s="130" customFormat="1" x14ac:dyDescent="0.25">
      <c r="B53" s="150"/>
      <c r="C53" s="65"/>
      <c r="D53" s="65"/>
      <c r="E53" s="65"/>
      <c r="F53" s="65"/>
      <c r="G53" s="65"/>
      <c r="H53" s="65"/>
      <c r="I53" s="65"/>
      <c r="N53" s="65"/>
      <c r="O53" s="65"/>
      <c r="P53" s="65"/>
      <c r="Q53" s="65"/>
      <c r="R53" s="65"/>
      <c r="S53" s="65"/>
      <c r="T53" s="65"/>
      <c r="AD53" s="145"/>
      <c r="AE53" s="145"/>
      <c r="AF53" s="145"/>
      <c r="AG53" s="145"/>
      <c r="AH53" s="145"/>
    </row>
    <row r="54" spans="2:34" s="130" customFormat="1" x14ac:dyDescent="0.25">
      <c r="B54" s="812" t="s">
        <v>442</v>
      </c>
      <c r="C54" s="813"/>
      <c r="D54" s="702">
        <f>D30+D39+D50</f>
        <v>2278.6779365759703</v>
      </c>
      <c r="E54" s="702">
        <f t="shared" ref="E54:I54" si="16">E30+E39+E50</f>
        <v>2323.8098006038135</v>
      </c>
      <c r="F54" s="702">
        <f t="shared" si="16"/>
        <v>2362.5734638209201</v>
      </c>
      <c r="G54" s="702">
        <f t="shared" si="16"/>
        <v>2401.808621822262</v>
      </c>
      <c r="H54" s="702">
        <f t="shared" si="16"/>
        <v>2434.4643063523281</v>
      </c>
      <c r="I54" s="811">
        <f t="shared" si="16"/>
        <v>2467.4887660830782</v>
      </c>
      <c r="N54" s="65"/>
      <c r="O54" s="65"/>
      <c r="P54" s="65"/>
      <c r="Q54" s="65"/>
      <c r="R54" s="65"/>
      <c r="S54" s="65"/>
      <c r="T54" s="65"/>
      <c r="AD54" s="145"/>
      <c r="AE54" s="145"/>
      <c r="AF54" s="145"/>
      <c r="AG54" s="145"/>
      <c r="AH54" s="145"/>
    </row>
    <row r="55" spans="2:34" s="130" customFormat="1" x14ac:dyDescent="0.25">
      <c r="B55" s="193"/>
      <c r="C55" s="147"/>
      <c r="D55" s="684" t="s">
        <v>624</v>
      </c>
      <c r="E55" s="466">
        <f>E54-$D$54</f>
        <v>45.131864027843221</v>
      </c>
      <c r="F55" s="466">
        <f t="shared" ref="F55:I55" si="17">F54-$D$54</f>
        <v>83.89552724494979</v>
      </c>
      <c r="G55" s="466">
        <f t="shared" si="17"/>
        <v>123.1306852462917</v>
      </c>
      <c r="H55" s="466">
        <f t="shared" si="17"/>
        <v>155.78636977635779</v>
      </c>
      <c r="I55" s="466">
        <f t="shared" si="17"/>
        <v>188.81082950710788</v>
      </c>
      <c r="N55" s="65"/>
      <c r="O55" s="65"/>
      <c r="P55" s="65"/>
      <c r="Q55" s="65"/>
      <c r="R55" s="65"/>
      <c r="S55" s="65"/>
      <c r="T55" s="65"/>
      <c r="AD55" s="145"/>
      <c r="AE55" s="145"/>
      <c r="AF55" s="145"/>
      <c r="AG55" s="145"/>
      <c r="AH55" s="145"/>
    </row>
    <row r="56" spans="2:34" s="130" customFormat="1" x14ac:dyDescent="0.25">
      <c r="B56" s="193"/>
      <c r="C56" s="147"/>
      <c r="D56" s="151" t="s">
        <v>824</v>
      </c>
      <c r="E56" s="466">
        <f>E55</f>
        <v>45.131864027843221</v>
      </c>
      <c r="F56" s="685">
        <f>F55-E55</f>
        <v>38.763663217106568</v>
      </c>
      <c r="G56" s="685">
        <f t="shared" ref="G56:I56" si="18">G55-F55</f>
        <v>39.235158001341915</v>
      </c>
      <c r="H56" s="685">
        <f t="shared" si="18"/>
        <v>32.655684530066083</v>
      </c>
      <c r="I56" s="685">
        <f t="shared" si="18"/>
        <v>33.024459730750095</v>
      </c>
      <c r="J56" s="65"/>
      <c r="K56" s="65"/>
      <c r="L56" s="65"/>
      <c r="M56" s="65"/>
      <c r="N56" s="65"/>
      <c r="O56" s="65"/>
      <c r="P56" s="65"/>
      <c r="Q56" s="65"/>
      <c r="R56" s="65"/>
      <c r="S56" s="65"/>
      <c r="T56" s="65"/>
      <c r="AD56" s="145"/>
      <c r="AE56" s="145"/>
      <c r="AF56" s="145"/>
      <c r="AG56" s="145"/>
      <c r="AH56" s="145"/>
    </row>
    <row r="57" spans="2:34" ht="30" customHeight="1" x14ac:dyDescent="0.25"/>
  </sheetData>
  <sheetProtection algorithmName="SHA-512" hashValue="X6+XoazUMzYUgf529LPKzRuopUrQb8w21W4Zl3NnOW5GtAzrOIcjGY+B7MgVI9xGFupLfmh/AXupo6KsIFSuLA==" saltValue="Q6JTbihXbCEx8eY4Y/KZQQ==" spinCount="100000" sheet="1" objects="1" scenarios="1"/>
  <mergeCells count="1">
    <mergeCell ref="B6:I6"/>
  </mergeCells>
  <phoneticPr fontId="43" type="noConversion"/>
  <pageMargins left="0.70866141732283472" right="0.70866141732283472" top="0.74803149606299213" bottom="0.74803149606299213" header="0.31496062992125984" footer="0.31496062992125984"/>
  <pageSetup paperSize="9" scale="61" fitToHeight="0" orientation="portrait" horizont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99456BF0FC3654992BB01F701E3BF13" ma:contentTypeVersion="16" ma:contentTypeDescription="Create a new document." ma:contentTypeScope="" ma:versionID="9c122098d4e003b4384c4da8d0c27443">
  <xsd:schema xmlns:xsd="http://www.w3.org/2001/XMLSchema" xmlns:xs="http://www.w3.org/2001/XMLSchema" xmlns:p="http://schemas.microsoft.com/office/2006/metadata/properties" xmlns:ns2="acaf4567-dc07-471f-892c-2bcb86ef35ae" xmlns:ns3="c1f338ac-e338-414f-952c-f74dcc6d59e1" xmlns:ns4="0eb656aa-4e79-4e95-9076-bc119a23e0cc" targetNamespace="http://schemas.microsoft.com/office/2006/metadata/properties" ma:root="true" ma:fieldsID="d886e9f0196ab673da6bef6c2dfa2844" ns2:_="" ns3:_="" ns4:_="">
    <xsd:import namespace="acaf4567-dc07-471f-892c-2bcb86ef35ae"/>
    <xsd:import namespace="c1f338ac-e338-414f-952c-f74dcc6d59e1"/>
    <xsd:import namespace="0eb656aa-4e79-4e95-9076-bc119a23e0c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3:SharedWithUsers" minOccurs="0"/>
                <xsd:element ref="ns3:SharedWithDetails" minOccurs="0"/>
                <xsd:element ref="ns2:geb11f8ce9d940728585fae6d5409a45" minOccurs="0"/>
                <xsd:element ref="ns4:TaxCatchAll" minOccurs="0"/>
                <xsd:element ref="ns2:MediaServiceSearchPropertie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af4567-dc07-471f-892c-2bcb86ef35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geb11f8ce9d940728585fae6d5409a45" ma:index="18" nillable="true" ma:taxonomy="true" ma:internalName="geb11f8ce9d940728585fae6d5409a45" ma:taxonomyFieldName="Display_x0020_Status" ma:displayName="Display Status" ma:default="" ma:fieldId="{0eb11f8c-e9d9-4072-8585-fae6d5409a45}" ma:taxonomyMulti="true" ma:sspId="9abb4586-6e39-4769-a9e9-e64cee0e77fc" ma:termSetId="a3edbbf6-09fc-44dd-a9a2-ad1f41badab5" ma:anchorId="00000000-0000-0000-0000-000000000000" ma:open="fals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abb4586-6e39-4769-a9e9-e64cee0e77fc"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f338ac-e338-414f-952c-f74dcc6d59e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eb656aa-4e79-4e95-9076-bc119a23e0cc"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2ee1930f-003b-4c79-bb18-414e791589f1}" ma:internalName="TaxCatchAll" ma:showField="CatchAllData" ma:web="c1f338ac-e338-414f-952c-f74dcc6d59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geb11f8ce9d940728585fae6d5409a45 xmlns="acaf4567-dc07-471f-892c-2bcb86ef35ae">
      <Terms xmlns="http://schemas.microsoft.com/office/infopath/2007/PartnerControls"/>
    </geb11f8ce9d940728585fae6d5409a45>
    <TaxCatchAll xmlns="0eb656aa-4e79-4e95-9076-bc119a23e0cc" xsi:nil="true"/>
    <SharedWithUsers xmlns="c1f338ac-e338-414f-952c-f74dcc6d59e1">
      <UserInfo>
        <DisplayName>Gary Shield</DisplayName>
        <AccountId>19</AccountId>
        <AccountType/>
      </UserInfo>
      <UserInfo>
        <DisplayName>Ciara Donnelly</DisplayName>
        <AccountId>24</AccountId>
        <AccountType/>
      </UserInfo>
      <UserInfo>
        <DisplayName>Nicola Bodey</DisplayName>
        <AccountId>21</AccountId>
        <AccountType/>
      </UserInfo>
      <UserInfo>
        <DisplayName>David Tyldesley</DisplayName>
        <AccountId>14</AccountId>
        <AccountType/>
      </UserInfo>
      <UserInfo>
        <DisplayName>Edgar Masanga</DisplayName>
        <AccountId>25</AccountId>
        <AccountType/>
      </UserInfo>
      <UserInfo>
        <DisplayName>Merrily Kenyon</DisplayName>
        <AccountId>161</AccountId>
        <AccountType/>
      </UserInfo>
      <UserInfo>
        <DisplayName>Elaine Cartwright</DisplayName>
        <AccountId>16</AccountId>
        <AccountType/>
      </UserInfo>
      <UserInfo>
        <DisplayName>Bing Luan-Gallagher</DisplayName>
        <AccountId>169</AccountId>
        <AccountType/>
      </UserInfo>
    </SharedWithUsers>
    <lcf76f155ced4ddcb4097134ff3c332f xmlns="acaf4567-dc07-471f-892c-2bcb86ef35a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6E5F98C-D41C-4C90-ABB5-AB488F6C2A1B}">
  <ds:schemaRefs>
    <ds:schemaRef ds:uri="http://schemas.microsoft.com/sharepoint/v3/contenttype/forms"/>
  </ds:schemaRefs>
</ds:datastoreItem>
</file>

<file path=customXml/itemProps2.xml><?xml version="1.0" encoding="utf-8"?>
<ds:datastoreItem xmlns:ds="http://schemas.openxmlformats.org/officeDocument/2006/customXml" ds:itemID="{82D4D1CD-E23E-4F65-8799-EB98B2DAD0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af4567-dc07-471f-892c-2bcb86ef35ae"/>
    <ds:schemaRef ds:uri="c1f338ac-e338-414f-952c-f74dcc6d59e1"/>
    <ds:schemaRef ds:uri="0eb656aa-4e79-4e95-9076-bc119a23e0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024C17-9003-4474-A67F-56162B9CF558}">
  <ds:schemaRefs>
    <ds:schemaRef ds:uri="http://purl.org/dc/terms/"/>
    <ds:schemaRef ds:uri="acaf4567-dc07-471f-892c-2bcb86ef35ae"/>
    <ds:schemaRef ds:uri="http://schemas.microsoft.com/office/2006/documentManagement/types"/>
    <ds:schemaRef ds:uri="http://schemas.microsoft.com/office/infopath/2007/PartnerControls"/>
    <ds:schemaRef ds:uri="http://purl.org/dc/elements/1.1/"/>
    <ds:schemaRef ds:uri="http://schemas.microsoft.com/office/2006/metadata/properties"/>
    <ds:schemaRef ds:uri="c1f338ac-e338-414f-952c-f74dcc6d59e1"/>
    <ds:schemaRef ds:uri="http://schemas.openxmlformats.org/package/2006/metadata/core-properties"/>
    <ds:schemaRef ds:uri="0eb656aa-4e79-4e95-9076-bc119a23e0c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15</vt:i4>
      </vt:variant>
    </vt:vector>
  </HeadingPairs>
  <TitlesOfParts>
    <vt:vector size="27" baseType="lpstr">
      <vt:lpstr>Cover</vt:lpstr>
      <vt:lpstr>Contents</vt:lpstr>
      <vt:lpstr>Population selection</vt:lpstr>
      <vt:lpstr>Sheet1</vt:lpstr>
      <vt:lpstr>Inputs and eligible population</vt:lpstr>
      <vt:lpstr>Interventions inputs</vt:lpstr>
      <vt:lpstr>Unit costs</vt:lpstr>
      <vt:lpstr>Summary</vt:lpstr>
      <vt:lpstr>Financial impact (cash)</vt:lpstr>
      <vt:lpstr>Capacity (local prices)</vt:lpstr>
      <vt:lpstr>Capacity (national prices)</vt:lpstr>
      <vt:lpstr>payscales</vt:lpstr>
      <vt:lpstr>CouncilArea</vt:lpstr>
      <vt:lpstr>HealthBoard</vt:lpstr>
      <vt:lpstr>NATIONAL</vt:lpstr>
      <vt:lpstr>ORGTYPE</vt:lpstr>
      <vt:lpstr>PER100K</vt:lpstr>
      <vt:lpstr>Popindicator</vt:lpstr>
      <vt:lpstr>'Capacity (local prices)'!Print_Area</vt:lpstr>
      <vt:lpstr>'Capacity (national prices)'!Print_Area</vt:lpstr>
      <vt:lpstr>Contents!Print_Area</vt:lpstr>
      <vt:lpstr>Cover!Print_Area</vt:lpstr>
      <vt:lpstr>'Financial impact (cash)'!Print_Area</vt:lpstr>
      <vt:lpstr>'Inputs and eligible population'!Print_Area</vt:lpstr>
      <vt:lpstr>'Population selection'!Print_Area</vt:lpstr>
      <vt:lpstr>Summary!Print_Area</vt:lpstr>
      <vt:lpstr>'Unit costs'!Print_Area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2022-07-27T12:38:28Z</dcterms:created>
  <dcterms:modified xsi:type="dcterms:W3CDTF">2024-12-17T16:43:09Z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69d85d5-6d9e-4305-a294-1f636ec0f2d6_Enabled">
    <vt:lpwstr>true</vt:lpwstr>
  </property>
  <property fmtid="{D5CDD505-2E9C-101B-9397-08002B2CF9AE}" pid="3" name="MSIP_Label_c69d85d5-6d9e-4305-a294-1f636ec0f2d6_SetDate">
    <vt:lpwstr>2023-05-09T11:23:49Z</vt:lpwstr>
  </property>
  <property fmtid="{D5CDD505-2E9C-101B-9397-08002B2CF9AE}" pid="4" name="MSIP_Label_c69d85d5-6d9e-4305-a294-1f636ec0f2d6_Method">
    <vt:lpwstr>Standard</vt:lpwstr>
  </property>
  <property fmtid="{D5CDD505-2E9C-101B-9397-08002B2CF9AE}" pid="5" name="MSIP_Label_c69d85d5-6d9e-4305-a294-1f636ec0f2d6_Name">
    <vt:lpwstr>OFFICIAL</vt:lpwstr>
  </property>
  <property fmtid="{D5CDD505-2E9C-101B-9397-08002B2CF9AE}" pid="6" name="MSIP_Label_c69d85d5-6d9e-4305-a294-1f636ec0f2d6_SiteId">
    <vt:lpwstr>6030f479-b342-472d-a5dd-740ff7538de9</vt:lpwstr>
  </property>
  <property fmtid="{D5CDD505-2E9C-101B-9397-08002B2CF9AE}" pid="7" name="MSIP_Label_c69d85d5-6d9e-4305-a294-1f636ec0f2d6_ActionId">
    <vt:lpwstr>ae2fb839-b434-4c6b-a8fd-14f0b2789a2b</vt:lpwstr>
  </property>
  <property fmtid="{D5CDD505-2E9C-101B-9397-08002B2CF9AE}" pid="8" name="MSIP_Label_c69d85d5-6d9e-4305-a294-1f636ec0f2d6_ContentBits">
    <vt:lpwstr>0</vt:lpwstr>
  </property>
  <property fmtid="{D5CDD505-2E9C-101B-9397-08002B2CF9AE}" pid="9" name="ContentTypeId">
    <vt:lpwstr>0x010100B99456BF0FC3654992BB01F701E3BF13</vt:lpwstr>
  </property>
  <property fmtid="{D5CDD505-2E9C-101B-9397-08002B2CF9AE}" pid="10" name="Order">
    <vt:r8>100</vt:r8>
  </property>
  <property fmtid="{D5CDD505-2E9C-101B-9397-08002B2CF9AE}" pid="11" name="Display Status">
    <vt:lpwstr/>
  </property>
  <property fmtid="{D5CDD505-2E9C-101B-9397-08002B2CF9AE}" pid="12" name="MediaServiceImageTags">
    <vt:lpwstr/>
  </property>
</Properties>
</file>